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Company Shared Folders\Departamento Tecnico\Mario\circulares miscelánea\2024\Circular 098.24\"/>
    </mc:Choice>
  </mc:AlternateContent>
  <xr:revisionPtr revIDLastSave="0" documentId="13_ncr:1_{45F2EAC7-ACA5-46E5-9D52-2088042C7BB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NEJO" sheetId="8" r:id="rId1"/>
    <sheet name="DATOS" sheetId="5" r:id="rId2"/>
    <sheet name="ETIQUETA_beta" sheetId="6" r:id="rId3"/>
    <sheet name="ETIQUETA_manual" sheetId="7" r:id="rId4"/>
    <sheet name="EQUIPOS" sheetId="3" state="hidden" r:id="rId5"/>
    <sheet name="REFRIGERANTES" sheetId="2" state="hidden" r:id="rId6"/>
  </sheets>
  <externalReferences>
    <externalReference r:id="rId7"/>
  </externalReferences>
  <definedNames>
    <definedName name="_xlnm._FilterDatabase" localSheetId="5" hidden="1">REFRIGERANTES!$D$6:$W$173</definedName>
    <definedName name="_xlnm.Print_Area" localSheetId="2">ETIQUETA_beta!$A$1:$M$48</definedName>
    <definedName name="_xlnm.Print_Area" localSheetId="3">ETIQUETA_manual!$A$1:$M$48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C48" i="5"/>
  <c r="C13" i="6"/>
  <c r="J38" i="5"/>
  <c r="H35" i="5"/>
  <c r="K34" i="5"/>
  <c r="H38" i="5" s="1"/>
  <c r="K33" i="5"/>
  <c r="E41" i="5" s="1"/>
  <c r="H33" i="5"/>
  <c r="K32" i="5"/>
  <c r="H40" i="5" s="1"/>
  <c r="K40" i="5" s="1"/>
  <c r="J18" i="5"/>
  <c r="H9" i="5"/>
  <c r="H21" i="5" s="1"/>
  <c r="G8" i="6" s="1"/>
  <c r="J5" i="5"/>
  <c r="T10" i="2"/>
  <c r="V10" i="2"/>
  <c r="W10" i="2"/>
  <c r="T11" i="2"/>
  <c r="V11" i="2"/>
  <c r="W11" i="2"/>
  <c r="T12" i="2"/>
  <c r="V12" i="2"/>
  <c r="W12" i="2"/>
  <c r="T13" i="2"/>
  <c r="V13" i="2"/>
  <c r="W13" i="2"/>
  <c r="T14" i="2"/>
  <c r="V14" i="2"/>
  <c r="W14" i="2"/>
  <c r="T15" i="2"/>
  <c r="V15" i="2"/>
  <c r="W15" i="2"/>
  <c r="T16" i="2"/>
  <c r="V16" i="2"/>
  <c r="W16" i="2"/>
  <c r="T17" i="2"/>
  <c r="V17" i="2"/>
  <c r="W17" i="2"/>
  <c r="T18" i="2"/>
  <c r="V18" i="2"/>
  <c r="W18" i="2"/>
  <c r="T19" i="2"/>
  <c r="V19" i="2"/>
  <c r="W19" i="2"/>
  <c r="T20" i="2"/>
  <c r="V20" i="2"/>
  <c r="W20" i="2"/>
  <c r="T21" i="2"/>
  <c r="V21" i="2"/>
  <c r="W21" i="2"/>
  <c r="T22" i="2"/>
  <c r="V22" i="2"/>
  <c r="W22" i="2"/>
  <c r="T23" i="2"/>
  <c r="V23" i="2"/>
  <c r="W23" i="2"/>
  <c r="T24" i="2"/>
  <c r="V24" i="2"/>
  <c r="W24" i="2"/>
  <c r="T25" i="2"/>
  <c r="V25" i="2"/>
  <c r="W25" i="2"/>
  <c r="T26" i="2"/>
  <c r="V26" i="2"/>
  <c r="W26" i="2"/>
  <c r="T27" i="2"/>
  <c r="V27" i="2"/>
  <c r="W27" i="2"/>
  <c r="T28" i="2"/>
  <c r="V28" i="2"/>
  <c r="W28" i="2"/>
  <c r="T29" i="2"/>
  <c r="V29" i="2"/>
  <c r="W29" i="2"/>
  <c r="T30" i="2"/>
  <c r="V30" i="2"/>
  <c r="W30" i="2"/>
  <c r="T31" i="2"/>
  <c r="V31" i="2"/>
  <c r="W31" i="2"/>
  <c r="T32" i="2"/>
  <c r="V32" i="2"/>
  <c r="W32" i="2"/>
  <c r="T33" i="2"/>
  <c r="V33" i="2"/>
  <c r="W33" i="2"/>
  <c r="T34" i="2"/>
  <c r="V34" i="2"/>
  <c r="W34" i="2"/>
  <c r="T35" i="2"/>
  <c r="V35" i="2"/>
  <c r="W35" i="2"/>
  <c r="T36" i="2"/>
  <c r="V36" i="2"/>
  <c r="W36" i="2"/>
  <c r="T37" i="2"/>
  <c r="V37" i="2"/>
  <c r="W37" i="2"/>
  <c r="T38" i="2"/>
  <c r="V38" i="2"/>
  <c r="W38" i="2"/>
  <c r="T39" i="2"/>
  <c r="V39" i="2"/>
  <c r="W39" i="2"/>
  <c r="T40" i="2"/>
  <c r="V40" i="2"/>
  <c r="W40" i="2"/>
  <c r="T41" i="2"/>
  <c r="V41" i="2"/>
  <c r="W41" i="2"/>
  <c r="T42" i="2"/>
  <c r="V42" i="2"/>
  <c r="W42" i="2"/>
  <c r="T43" i="2"/>
  <c r="V43" i="2"/>
  <c r="W43" i="2"/>
  <c r="T44" i="2"/>
  <c r="V44" i="2"/>
  <c r="W44" i="2"/>
  <c r="T45" i="2"/>
  <c r="V45" i="2"/>
  <c r="W45" i="2"/>
  <c r="T46" i="2"/>
  <c r="V46" i="2"/>
  <c r="W46" i="2"/>
  <c r="T47" i="2"/>
  <c r="V47" i="2"/>
  <c r="W47" i="2"/>
  <c r="T48" i="2"/>
  <c r="V48" i="2"/>
  <c r="W48" i="2"/>
  <c r="T49" i="2"/>
  <c r="V49" i="2"/>
  <c r="W49" i="2"/>
  <c r="T50" i="2"/>
  <c r="V50" i="2"/>
  <c r="W50" i="2"/>
  <c r="T51" i="2"/>
  <c r="V51" i="2"/>
  <c r="W51" i="2"/>
  <c r="T52" i="2"/>
  <c r="V52" i="2"/>
  <c r="W52" i="2"/>
  <c r="T53" i="2"/>
  <c r="V53" i="2"/>
  <c r="W53" i="2"/>
  <c r="T54" i="2"/>
  <c r="V54" i="2"/>
  <c r="W54" i="2"/>
  <c r="T55" i="2"/>
  <c r="V55" i="2"/>
  <c r="W55" i="2"/>
  <c r="T56" i="2"/>
  <c r="V56" i="2"/>
  <c r="W56" i="2"/>
  <c r="T57" i="2"/>
  <c r="V57" i="2"/>
  <c r="W57" i="2"/>
  <c r="T58" i="2"/>
  <c r="V58" i="2"/>
  <c r="W58" i="2"/>
  <c r="T59" i="2"/>
  <c r="V59" i="2"/>
  <c r="W59" i="2"/>
  <c r="T60" i="2"/>
  <c r="V60" i="2"/>
  <c r="W60" i="2"/>
  <c r="T61" i="2"/>
  <c r="V61" i="2"/>
  <c r="W61" i="2"/>
  <c r="T62" i="2"/>
  <c r="V62" i="2"/>
  <c r="W62" i="2"/>
  <c r="T63" i="2"/>
  <c r="V63" i="2"/>
  <c r="W63" i="2"/>
  <c r="T64" i="2"/>
  <c r="V64" i="2"/>
  <c r="W64" i="2"/>
  <c r="T65" i="2"/>
  <c r="V65" i="2"/>
  <c r="W65" i="2"/>
  <c r="T66" i="2"/>
  <c r="V66" i="2"/>
  <c r="W66" i="2"/>
  <c r="T67" i="2"/>
  <c r="V67" i="2"/>
  <c r="W67" i="2"/>
  <c r="T68" i="2"/>
  <c r="V68" i="2"/>
  <c r="W68" i="2"/>
  <c r="T69" i="2"/>
  <c r="V69" i="2"/>
  <c r="W69" i="2"/>
  <c r="T70" i="2"/>
  <c r="V70" i="2"/>
  <c r="W70" i="2"/>
  <c r="T71" i="2"/>
  <c r="V71" i="2"/>
  <c r="W71" i="2"/>
  <c r="T72" i="2"/>
  <c r="V72" i="2"/>
  <c r="W72" i="2"/>
  <c r="T73" i="2"/>
  <c r="V73" i="2"/>
  <c r="W73" i="2"/>
  <c r="T74" i="2"/>
  <c r="V74" i="2"/>
  <c r="W74" i="2"/>
  <c r="T75" i="2"/>
  <c r="V75" i="2"/>
  <c r="W75" i="2"/>
  <c r="T76" i="2"/>
  <c r="V76" i="2"/>
  <c r="W76" i="2"/>
  <c r="T77" i="2"/>
  <c r="V77" i="2"/>
  <c r="W77" i="2"/>
  <c r="T78" i="2"/>
  <c r="V78" i="2"/>
  <c r="W78" i="2"/>
  <c r="T79" i="2"/>
  <c r="V79" i="2"/>
  <c r="W79" i="2"/>
  <c r="T80" i="2"/>
  <c r="V80" i="2"/>
  <c r="W80" i="2"/>
  <c r="T81" i="2"/>
  <c r="V81" i="2"/>
  <c r="W81" i="2"/>
  <c r="T82" i="2"/>
  <c r="V82" i="2"/>
  <c r="W82" i="2"/>
  <c r="T83" i="2"/>
  <c r="V83" i="2"/>
  <c r="W83" i="2"/>
  <c r="T84" i="2"/>
  <c r="V84" i="2"/>
  <c r="W84" i="2"/>
  <c r="T85" i="2"/>
  <c r="V85" i="2"/>
  <c r="W85" i="2"/>
  <c r="T86" i="2"/>
  <c r="V86" i="2"/>
  <c r="W86" i="2"/>
  <c r="T87" i="2"/>
  <c r="V87" i="2"/>
  <c r="W87" i="2"/>
  <c r="T88" i="2"/>
  <c r="V88" i="2"/>
  <c r="W88" i="2"/>
  <c r="T89" i="2"/>
  <c r="V89" i="2"/>
  <c r="W89" i="2"/>
  <c r="T90" i="2"/>
  <c r="V90" i="2"/>
  <c r="W90" i="2"/>
  <c r="T91" i="2"/>
  <c r="V91" i="2"/>
  <c r="W91" i="2"/>
  <c r="T92" i="2"/>
  <c r="V92" i="2"/>
  <c r="W92" i="2"/>
  <c r="T93" i="2"/>
  <c r="V93" i="2"/>
  <c r="W93" i="2"/>
  <c r="T94" i="2"/>
  <c r="V94" i="2"/>
  <c r="W94" i="2"/>
  <c r="T95" i="2"/>
  <c r="V95" i="2"/>
  <c r="W95" i="2"/>
  <c r="T96" i="2"/>
  <c r="V96" i="2"/>
  <c r="W96" i="2"/>
  <c r="T97" i="2"/>
  <c r="V97" i="2"/>
  <c r="W97" i="2"/>
  <c r="T98" i="2"/>
  <c r="V98" i="2"/>
  <c r="W98" i="2"/>
  <c r="T99" i="2"/>
  <c r="V99" i="2"/>
  <c r="W99" i="2"/>
  <c r="T100" i="2"/>
  <c r="V100" i="2"/>
  <c r="W100" i="2"/>
  <c r="T101" i="2"/>
  <c r="V101" i="2"/>
  <c r="W101" i="2"/>
  <c r="T102" i="2"/>
  <c r="V102" i="2"/>
  <c r="W102" i="2"/>
  <c r="T103" i="2"/>
  <c r="V103" i="2"/>
  <c r="W103" i="2"/>
  <c r="V104" i="2"/>
  <c r="W104" i="2"/>
  <c r="T105" i="2"/>
  <c r="V105" i="2"/>
  <c r="W105" i="2"/>
  <c r="T106" i="2"/>
  <c r="V106" i="2"/>
  <c r="W106" i="2"/>
  <c r="T107" i="2"/>
  <c r="V107" i="2"/>
  <c r="W107" i="2"/>
  <c r="T108" i="2"/>
  <c r="V108" i="2"/>
  <c r="W108" i="2"/>
  <c r="T109" i="2"/>
  <c r="V109" i="2"/>
  <c r="W109" i="2"/>
  <c r="T110" i="2"/>
  <c r="V110" i="2"/>
  <c r="W110" i="2"/>
  <c r="T111" i="2"/>
  <c r="V111" i="2"/>
  <c r="W111" i="2"/>
  <c r="T112" i="2"/>
  <c r="V112" i="2"/>
  <c r="W112" i="2"/>
  <c r="T113" i="2"/>
  <c r="V113" i="2"/>
  <c r="W113" i="2"/>
  <c r="T114" i="2"/>
  <c r="V114" i="2"/>
  <c r="W114" i="2"/>
  <c r="T115" i="2"/>
  <c r="V115" i="2"/>
  <c r="W115" i="2"/>
  <c r="T116" i="2"/>
  <c r="V116" i="2"/>
  <c r="W116" i="2"/>
  <c r="T117" i="2"/>
  <c r="V117" i="2"/>
  <c r="W117" i="2"/>
  <c r="T118" i="2"/>
  <c r="V118" i="2"/>
  <c r="W118" i="2"/>
  <c r="T119" i="2"/>
  <c r="V119" i="2"/>
  <c r="W119" i="2"/>
  <c r="T120" i="2"/>
  <c r="V120" i="2"/>
  <c r="W120" i="2"/>
  <c r="T121" i="2"/>
  <c r="V121" i="2"/>
  <c r="W121" i="2"/>
  <c r="T122" i="2"/>
  <c r="V122" i="2"/>
  <c r="W122" i="2"/>
  <c r="T123" i="2"/>
  <c r="V123" i="2"/>
  <c r="W123" i="2"/>
  <c r="T124" i="2"/>
  <c r="V124" i="2"/>
  <c r="W124" i="2"/>
  <c r="T125" i="2"/>
  <c r="V125" i="2"/>
  <c r="W125" i="2"/>
  <c r="T126" i="2"/>
  <c r="V126" i="2"/>
  <c r="W126" i="2"/>
  <c r="T127" i="2"/>
  <c r="V127" i="2"/>
  <c r="W127" i="2"/>
  <c r="T128" i="2"/>
  <c r="V128" i="2"/>
  <c r="W128" i="2"/>
  <c r="T129" i="2"/>
  <c r="V129" i="2"/>
  <c r="W129" i="2"/>
  <c r="T130" i="2"/>
  <c r="V130" i="2"/>
  <c r="W130" i="2"/>
  <c r="T131" i="2"/>
  <c r="V131" i="2"/>
  <c r="W131" i="2"/>
  <c r="T132" i="2"/>
  <c r="V132" i="2"/>
  <c r="W132" i="2"/>
  <c r="T133" i="2"/>
  <c r="V133" i="2"/>
  <c r="W133" i="2"/>
  <c r="T134" i="2"/>
  <c r="V134" i="2"/>
  <c r="W134" i="2"/>
  <c r="T135" i="2"/>
  <c r="V135" i="2"/>
  <c r="W135" i="2"/>
  <c r="T136" i="2"/>
  <c r="V136" i="2"/>
  <c r="W136" i="2"/>
  <c r="T137" i="2"/>
  <c r="V137" i="2"/>
  <c r="W137" i="2"/>
  <c r="T138" i="2"/>
  <c r="V138" i="2"/>
  <c r="W138" i="2"/>
  <c r="T139" i="2"/>
  <c r="V139" i="2"/>
  <c r="W139" i="2"/>
  <c r="T140" i="2"/>
  <c r="V140" i="2"/>
  <c r="W140" i="2"/>
  <c r="T141" i="2"/>
  <c r="V141" i="2"/>
  <c r="W141" i="2"/>
  <c r="T142" i="2"/>
  <c r="V142" i="2"/>
  <c r="W142" i="2"/>
  <c r="T143" i="2"/>
  <c r="V143" i="2"/>
  <c r="W143" i="2"/>
  <c r="T144" i="2"/>
  <c r="V144" i="2"/>
  <c r="W144" i="2"/>
  <c r="T145" i="2"/>
  <c r="V145" i="2"/>
  <c r="W145" i="2"/>
  <c r="T146" i="2"/>
  <c r="V146" i="2"/>
  <c r="W146" i="2"/>
  <c r="T147" i="2"/>
  <c r="V147" i="2"/>
  <c r="W147" i="2"/>
  <c r="T148" i="2"/>
  <c r="V148" i="2"/>
  <c r="W148" i="2"/>
  <c r="T149" i="2"/>
  <c r="V149" i="2"/>
  <c r="W149" i="2"/>
  <c r="T150" i="2"/>
  <c r="V150" i="2"/>
  <c r="W150" i="2"/>
  <c r="T151" i="2"/>
  <c r="V151" i="2"/>
  <c r="W151" i="2"/>
  <c r="T152" i="2"/>
  <c r="V152" i="2"/>
  <c r="W152" i="2"/>
  <c r="T153" i="2"/>
  <c r="V153" i="2"/>
  <c r="W153" i="2"/>
  <c r="T154" i="2"/>
  <c r="V154" i="2"/>
  <c r="W154" i="2"/>
  <c r="T155" i="2"/>
  <c r="V155" i="2"/>
  <c r="W155" i="2"/>
  <c r="T156" i="2"/>
  <c r="V156" i="2"/>
  <c r="W156" i="2"/>
  <c r="T157" i="2"/>
  <c r="V157" i="2"/>
  <c r="W157" i="2"/>
  <c r="T158" i="2"/>
  <c r="V158" i="2"/>
  <c r="W158" i="2"/>
  <c r="T159" i="2"/>
  <c r="V159" i="2"/>
  <c r="W159" i="2"/>
  <c r="T160" i="2"/>
  <c r="V160" i="2"/>
  <c r="W160" i="2"/>
  <c r="T161" i="2"/>
  <c r="V161" i="2"/>
  <c r="W161" i="2"/>
  <c r="T162" i="2"/>
  <c r="V162" i="2"/>
  <c r="W162" i="2"/>
  <c r="T163" i="2"/>
  <c r="V163" i="2"/>
  <c r="W163" i="2"/>
  <c r="T164" i="2"/>
  <c r="V164" i="2"/>
  <c r="W164" i="2"/>
  <c r="T165" i="2"/>
  <c r="V165" i="2"/>
  <c r="W165" i="2"/>
  <c r="T166" i="2"/>
  <c r="V166" i="2"/>
  <c r="W166" i="2"/>
  <c r="T167" i="2"/>
  <c r="V167" i="2"/>
  <c r="W167" i="2"/>
  <c r="T168" i="2"/>
  <c r="V168" i="2"/>
  <c r="W168" i="2"/>
  <c r="T169" i="2"/>
  <c r="V169" i="2"/>
  <c r="W169" i="2"/>
  <c r="T170" i="2"/>
  <c r="V170" i="2"/>
  <c r="W170" i="2"/>
  <c r="T171" i="2"/>
  <c r="V171" i="2"/>
  <c r="W171" i="2"/>
  <c r="T172" i="2"/>
  <c r="V172" i="2"/>
  <c r="W172" i="2"/>
  <c r="T173" i="2"/>
  <c r="V173" i="2"/>
  <c r="W173" i="2"/>
  <c r="C8" i="7" l="1"/>
  <c r="J24" i="7" s="1"/>
  <c r="G8" i="7"/>
  <c r="C8" i="6"/>
  <c r="E40" i="5"/>
  <c r="H41" i="5"/>
  <c r="F38" i="5"/>
  <c r="H27" i="5"/>
  <c r="C46" i="5"/>
  <c r="J24" i="5"/>
  <c r="H24" i="5"/>
  <c r="G24" i="7" l="1"/>
  <c r="J17" i="7"/>
  <c r="J30" i="7" s="1"/>
  <c r="G17" i="7"/>
  <c r="G30" i="7" s="1"/>
  <c r="J24" i="6"/>
  <c r="G24" i="6"/>
  <c r="C44" i="5"/>
  <c r="C36" i="6" s="1"/>
  <c r="G17" i="6"/>
  <c r="J17" i="6"/>
  <c r="J30" i="6" l="1"/>
  <c r="G30" i="6"/>
</calcChain>
</file>

<file path=xl/sharedStrings.xml><?xml version="1.0" encoding="utf-8"?>
<sst xmlns="http://schemas.openxmlformats.org/spreadsheetml/2006/main" count="1977" uniqueCount="1005">
  <si>
    <t>HECHO POR EL DEPARTAMENTO TÉCNICO DE CONAIF</t>
  </si>
  <si>
    <t>HFC</t>
  </si>
  <si>
    <t>Gas fluorado</t>
  </si>
  <si>
    <t>ND</t>
  </si>
  <si>
    <t>–62,16 a –50,23</t>
  </si>
  <si>
    <t>CH2F2+CH3H6+C2H6O (11)</t>
  </si>
  <si>
    <t>R-32/R-1270/R-E170 (21/75/4)</t>
  </si>
  <si>
    <t>R(1)</t>
  </si>
  <si>
    <t>A3/A3</t>
  </si>
  <si>
    <t>NO SUJETO A RESTRICCIONES MEDIOAMBIENTALES</t>
  </si>
  <si>
    <t>Refrigerante orgánico</t>
  </si>
  <si>
    <t>–44,8 a –41,2</t>
  </si>
  <si>
    <t>CH3H6+C3H8+CH(CH3)3</t>
  </si>
  <si>
    <t>R-1270/R-290/R-600A (55/40/5)</t>
  </si>
  <si>
    <t>R-443A</t>
  </si>
  <si>
    <t>–41,9 a –20,4</t>
  </si>
  <si>
    <t>C2H6+C3H8+CH(CH3)3+C4H10</t>
  </si>
  <si>
    <t>R-170/R-290/R-600A/R-600 (3,1/54,8/6,0/36,1)</t>
  </si>
  <si>
    <t>R-441A</t>
  </si>
  <si>
    <t>–33,4 a –25,0</t>
  </si>
  <si>
    <t>CH3H8+CH(CH3)3</t>
  </si>
  <si>
    <t>R-290/R-600A (52/48)</t>
  </si>
  <si>
    <t>R-436B</t>
  </si>
  <si>
    <t>–34,3 a –26,2</t>
  </si>
  <si>
    <t>R-290/R-600A (56/44)</t>
  </si>
  <si>
    <t>R-436A</t>
  </si>
  <si>
    <t>–26,1 a –25,9</t>
  </si>
  <si>
    <t>C2H6O+C2H4F2 (11)</t>
  </si>
  <si>
    <t>R-E170/R-152A (80/20)</t>
  </si>
  <si>
    <t>R-435A</t>
  </si>
  <si>
    <t>–44,3 a –43,9</t>
  </si>
  <si>
    <t>C3H6+ CH3H8</t>
  </si>
  <si>
    <t>R-1270/R-290 (25/75)</t>
  </si>
  <si>
    <t>R-433C</t>
  </si>
  <si>
    <t>–44,6 a –44,2</t>
  </si>
  <si>
    <t>R-1270/R-290 (30/70)</t>
  </si>
  <si>
    <t>R-333A</t>
  </si>
  <si>
    <t>–46,6 a –45,6</t>
  </si>
  <si>
    <t>C3H6+C2H6O</t>
  </si>
  <si>
    <t>R-1270/R-E170 (80/20)</t>
  </si>
  <si>
    <t>R-432A</t>
  </si>
  <si>
    <t>–43,1 a –43,1</t>
  </si>
  <si>
    <t>CH3H8+ CHF2CH3 (11)</t>
  </si>
  <si>
    <t>R-290/R-152A (71/29)</t>
  </si>
  <si>
    <t>R-431A</t>
  </si>
  <si>
    <t>–27,6 a –27,6</t>
  </si>
  <si>
    <t>CHF2CH3+CH(CH3)3 (11)</t>
  </si>
  <si>
    <t>R-152A/R-600A (76/24)</t>
  </si>
  <si>
    <t>R-430A</t>
  </si>
  <si>
    <t>–26,0 a –25,6</t>
  </si>
  <si>
    <t>C2H6O+CHF2CH3+CH(CH3)3 (11)</t>
  </si>
  <si>
    <t>R-E170/R-152A/R-600A (60/10/30)</t>
  </si>
  <si>
    <t>R-429A</t>
  </si>
  <si>
    <t>CH3H8+C2H6O</t>
  </si>
  <si>
    <t>R-290/R-E170 (95/5)</t>
  </si>
  <si>
    <t>R-511A</t>
  </si>
  <si>
    <t>A3</t>
  </si>
  <si>
    <t>0.087</t>
  </si>
  <si>
    <t>–25,1</t>
  </si>
  <si>
    <t>C2H6O+CH(CH3)3</t>
  </si>
  <si>
    <t>R-E170/R-600A (88/12)</t>
  </si>
  <si>
    <t>R-510A</t>
  </si>
  <si>
    <t>–25</t>
  </si>
  <si>
    <t>CH3OCH3</t>
  </si>
  <si>
    <t>Dimetileter</t>
  </si>
  <si>
    <t>R-E170</t>
  </si>
  <si>
    <t>–48</t>
  </si>
  <si>
    <t>CH3CH=CH2</t>
  </si>
  <si>
    <t>Propileno</t>
  </si>
  <si>
    <t>R-1270</t>
  </si>
  <si>
    <t>–104</t>
  </si>
  <si>
    <t>1.15</t>
  </si>
  <si>
    <t>CH2 = CH2</t>
  </si>
  <si>
    <t>Etileno</t>
  </si>
  <si>
    <t>R-1150</t>
  </si>
  <si>
    <t>(CH3)2CHCH2CH3</t>
  </si>
  <si>
    <t>2 Metilbutano (Isopentano)</t>
  </si>
  <si>
    <t>R-601A</t>
  </si>
  <si>
    <t>C5H10</t>
  </si>
  <si>
    <t>Pentano</t>
  </si>
  <si>
    <t>R-601</t>
  </si>
  <si>
    <t>–12</t>
  </si>
  <si>
    <t>CH(CH3)3</t>
  </si>
  <si>
    <t>2 Metilpropano (Isobutano)</t>
  </si>
  <si>
    <t>R-600A</t>
  </si>
  <si>
    <t>C4H10</t>
  </si>
  <si>
    <t>Butano</t>
  </si>
  <si>
    <t>R-600</t>
  </si>
  <si>
    <t>–42</t>
  </si>
  <si>
    <t>C3H8</t>
  </si>
  <si>
    <t>Propano</t>
  </si>
  <si>
    <t>R-290</t>
  </si>
  <si>
    <t>–89</t>
  </si>
  <si>
    <t>C2H6</t>
  </si>
  <si>
    <t>Etano</t>
  </si>
  <si>
    <t>R-170</t>
  </si>
  <si>
    <t>–161</t>
  </si>
  <si>
    <t>0.654</t>
  </si>
  <si>
    <t>CH4</t>
  </si>
  <si>
    <t>Metano</t>
  </si>
  <si>
    <t>R-50</t>
  </si>
  <si>
    <t>X</t>
  </si>
  <si>
    <t>CHCl = CHCl</t>
  </si>
  <si>
    <t>1,2-Dicloroetileno</t>
  </si>
  <si>
    <t>R-1130</t>
  </si>
  <si>
    <t>B2</t>
  </si>
  <si>
    <t>C2H4O2</t>
  </si>
  <si>
    <t>Formiato de metilo</t>
  </si>
  <si>
    <t>R-611</t>
  </si>
  <si>
    <t>SUJETO A REGLAMENTO SUSTANCIAS DAÑAN CAPA DE OZONO</t>
  </si>
  <si>
    <t>Refrigerantes que daña la capa de ozono</t>
  </si>
  <si>
    <t>–24</t>
  </si>
  <si>
    <t>CH3Cl (10)</t>
  </si>
  <si>
    <t>Cloruro de metilo</t>
  </si>
  <si>
    <t>R-40</t>
  </si>
  <si>
    <t>CH2Cl2 (10)</t>
  </si>
  <si>
    <t>Diclorometano (cloruro de etileno)</t>
  </si>
  <si>
    <t>R-30</t>
  </si>
  <si>
    <t>Refrigerante natural</t>
  </si>
  <si>
    <t>–33</t>
  </si>
  <si>
    <t>NH3</t>
  </si>
  <si>
    <t>Amoníaco</t>
  </si>
  <si>
    <t>R-717</t>
  </si>
  <si>
    <t>B2L</t>
  </si>
  <si>
    <t>NF</t>
  </si>
  <si>
    <t>–10</t>
  </si>
  <si>
    <t>0,0002 6</t>
  </si>
  <si>
    <t>SO2</t>
  </si>
  <si>
    <t>Dióxido de azufre</t>
  </si>
  <si>
    <t>R-764</t>
  </si>
  <si>
    <t>B1</t>
  </si>
  <si>
    <t>CF3CH2CHF2 (11)</t>
  </si>
  <si>
    <t>1,1,1,3,3 Pentafluor propano</t>
  </si>
  <si>
    <t>R-245FA</t>
  </si>
  <si>
    <t>NA</t>
  </si>
  <si>
    <t>CF3CHCl2 (10)</t>
  </si>
  <si>
    <t>2,2-Dicloro-1,1,1-trifluoretano</t>
  </si>
  <si>
    <t>R-123</t>
  </si>
  <si>
    <t>CHCl2F (10)</t>
  </si>
  <si>
    <t>Diclorofluormetano</t>
  </si>
  <si>
    <t>R-21</t>
  </si>
  <si>
    <t>–38,1 a –37,8</t>
  </si>
  <si>
    <t>CF3CHF2+CF3CH2F+CHF2CH3+ CH3OCH3 (11)</t>
  </si>
  <si>
    <t>R-125/R-134A/R-152A/R-E170 (67/15/15/3)</t>
  </si>
  <si>
    <t>A1/A2</t>
  </si>
  <si>
    <t>–25,5 a –24,3</t>
  </si>
  <si>
    <t>C3H8+CF3CH2F+CHF2CH3 (11)</t>
  </si>
  <si>
    <t>R-290/R-134A/R-152A (0,6/1,6/97,8)</t>
  </si>
  <si>
    <t>R-440A</t>
  </si>
  <si>
    <t>0.34</t>
  </si>
  <si>
    <t>–52,0 a –51,8</t>
  </si>
  <si>
    <t>CH2F2+CF3CHF2+CH(CH3)3 (11)</t>
  </si>
  <si>
    <t>R-32/R-125/R-600A (50/47/3)</t>
  </si>
  <si>
    <t>R-439A</t>
  </si>
  <si>
    <t>–37,4 a –31,5</t>
  </si>
  <si>
    <t>CF3CHF2+CF3CH2F+CH3OCH3 (11)</t>
  </si>
  <si>
    <t>R-125/R-134A/R-E170 (48,5/48,0/3,5)</t>
  </si>
  <si>
    <t>R-419B</t>
  </si>
  <si>
    <t>–42,6 a –35,9</t>
  </si>
  <si>
    <t>R-125/R-134A/R-E170 (77/19/4)</t>
  </si>
  <si>
    <t>R-419A</t>
  </si>
  <si>
    <t>Gas fluorado y que daña la capa de ozono</t>
  </si>
  <si>
    <t>–41,7 a –40,0</t>
  </si>
  <si>
    <t>C3H8+CHClF2+CHF2CH3 (10;11)</t>
  </si>
  <si>
    <t>R-290/R-22/R-152A (1,5/96,0/2,5)</t>
  </si>
  <si>
    <t>R-418A</t>
  </si>
  <si>
    <t>–23,4 a –21,8</t>
  </si>
  <si>
    <t>CHClF2+CHF2CH3 (10;11)</t>
  </si>
  <si>
    <t>R-22/R-152A (25/75)</t>
  </si>
  <si>
    <t>R-415B</t>
  </si>
  <si>
    <t>–37,5 a –34,7</t>
  </si>
  <si>
    <t>R-22/R-152A (82/18)</t>
  </si>
  <si>
    <t>R-415A</t>
  </si>
  <si>
    <t>PFC/HFC</t>
  </si>
  <si>
    <t>–29,4 a –27,4</t>
  </si>
  <si>
    <t>C3F8+ CF3CH2F+ CH(CH3)3 (11)</t>
  </si>
  <si>
    <t>R-218/R-134A/R-600A (9/88/3)</t>
  </si>
  <si>
    <t>R-413A</t>
  </si>
  <si>
    <t>–36,5 a –28,9</t>
  </si>
  <si>
    <t>CHClF2+C3F8+CCIF2CH3 (10;11)</t>
  </si>
  <si>
    <t>R-22/R-218/R-142B (70/5/25)</t>
  </si>
  <si>
    <t>R-412A</t>
  </si>
  <si>
    <t>–41,6 a –40,2</t>
  </si>
  <si>
    <t>C3H6+CHClF2+ CHF2CH3 (10;11)</t>
  </si>
  <si>
    <t>R-1270/R-22/R-152A (3/94/3)</t>
  </si>
  <si>
    <t>R-411B</t>
  </si>
  <si>
    <t>–39,6 a –37,1</t>
  </si>
  <si>
    <t>0.04</t>
  </si>
  <si>
    <t>R-1270/R-22/R-152A (1,5/87,5/11,0)</t>
  </si>
  <si>
    <t>R-411A</t>
  </si>
  <si>
    <t>–32,7 a –23,5</t>
  </si>
  <si>
    <t>89.9</t>
  </si>
  <si>
    <t>CHClF2+ CH(CH3)3+ CClF2CH3 (10;11)</t>
  </si>
  <si>
    <t>R-22/R-600A/R-142B (55/4/41)</t>
  </si>
  <si>
    <t>R-406A</t>
  </si>
  <si>
    <t>CH3CH2F+CHF2CH3 (11)</t>
  </si>
  <si>
    <t>R-134A/R-152A (5/95)</t>
  </si>
  <si>
    <t>R-512A</t>
  </si>
  <si>
    <t>A2</t>
  </si>
  <si>
    <t>0.019</t>
  </si>
  <si>
    <t>CH3CH2Cl (10)</t>
  </si>
  <si>
    <t>Cloruro de etilo</t>
  </si>
  <si>
    <t>R-160</t>
  </si>
  <si>
    <t>0.027</t>
  </si>
  <si>
    <t>CHF2CH3 (11)</t>
  </si>
  <si>
    <t>1,1-Difluoretano</t>
  </si>
  <si>
    <t>R-152A</t>
  </si>
  <si>
    <t>CClF2CH3 (10;11)</t>
  </si>
  <si>
    <t>1-Cloro-1,1-difluoretano</t>
  </si>
  <si>
    <t>R-142B</t>
  </si>
  <si>
    <t>0.053</t>
  </si>
  <si>
    <t>CCl2FCH3 (10;11)</t>
  </si>
  <si>
    <t>1,1-Dicloro-1-fluoretano</t>
  </si>
  <si>
    <t>R-141B</t>
  </si>
  <si>
    <t>HFC/ANEXO II</t>
  </si>
  <si>
    <t>0.423</t>
  </si>
  <si>
    <t>–51,6 a –39,1</t>
  </si>
  <si>
    <t>0.105</t>
  </si>
  <si>
    <t>87.5</t>
  </si>
  <si>
    <t>CO2+CH2F2+CF3CF=CH2 (11)</t>
  </si>
  <si>
    <t>R-744/R-32/R-1234yf (3,0/21,5 /75,5)</t>
  </si>
  <si>
    <t>R-455A</t>
  </si>
  <si>
    <t>A2L</t>
  </si>
  <si>
    <t>–</t>
  </si>
  <si>
    <t>–46,0 a –37,8</t>
  </si>
  <si>
    <t>0.059</t>
  </si>
  <si>
    <t>CH2F2+CF3CFCH2 (11)</t>
  </si>
  <si>
    <t>R-32/R-1234yf (21,5/78,5)</t>
  </si>
  <si>
    <t>R-454C</t>
  </si>
  <si>
    <t>–50,9 a –50,0</t>
  </si>
  <si>
    <t>62.6</t>
  </si>
  <si>
    <t>R-32/R-1234yf (68,9/31,1)</t>
  </si>
  <si>
    <t>R-454B</t>
  </si>
  <si>
    <t>0.278</t>
  </si>
  <si>
    <t>–48,4 a –41,6</t>
  </si>
  <si>
    <t>0.056</t>
  </si>
  <si>
    <t>80.5</t>
  </si>
  <si>
    <t>R-32/R-1234yf (35,0/65,0)</t>
  </si>
  <si>
    <t>R-454A</t>
  </si>
  <si>
    <t>0.310</t>
  </si>
  <si>
    <t>–51,0 a –50,3</t>
  </si>
  <si>
    <t>0.062</t>
  </si>
  <si>
    <t>63.5</t>
  </si>
  <si>
    <t>CH2F2+CF3CHF2+CF3CFCH2 (11)</t>
  </si>
  <si>
    <t>R-32/R-125/R-1234yf (67,0/7,0/26,0)</t>
  </si>
  <si>
    <t>R-452B</t>
  </si>
  <si>
    <t>–31,0 a –30,6</t>
  </si>
  <si>
    <t>CF3CF=CH2+ CF3CH2F (11)</t>
  </si>
  <si>
    <t>R-1234yf/R-134A (88,8/11,2)</t>
  </si>
  <si>
    <t>R-451B</t>
  </si>
  <si>
    <t>–30,8 a –30,5</t>
  </si>
  <si>
    <t>R-1234yf/R-134A (89,8/10,2)</t>
  </si>
  <si>
    <t>R-451A</t>
  </si>
  <si>
    <t>–49,3 a –44,2</t>
  </si>
  <si>
    <t>CH2F2+CF3CHF2+ CF3CH=CHF (11)</t>
  </si>
  <si>
    <t>R-32/R-125/R-1234ze[E] (68/3,5/28,5)</t>
  </si>
  <si>
    <t>R-447A</t>
  </si>
  <si>
    <t>–49,4 a –44,0</t>
  </si>
  <si>
    <t>CH2F2+CF3CH=CHF+C4H10 (11)</t>
  </si>
  <si>
    <t>R-32/R-1234ze[E]/R-600 (68/29/3)</t>
  </si>
  <si>
    <t>R-446A</t>
  </si>
  <si>
    <t>–50,3 a –23,5</t>
  </si>
  <si>
    <t>CO2+CF3CH2F+ CF3CH=CHF (11)</t>
  </si>
  <si>
    <t>R-744/R-134A/R-1234ze[E] (6/9/85)</t>
  </si>
  <si>
    <t>R-445A</t>
  </si>
  <si>
    <t>–44.6 a –34.9</t>
  </si>
  <si>
    <t>CH2F2+CH3CHF2+ CF3CH=CHF(11)</t>
  </si>
  <si>
    <t>R-32/R-152A/R-1234ze[E] (41,5/10/48,5)</t>
  </si>
  <si>
    <t>R-444B</t>
  </si>
  <si>
    <t>0.324</t>
  </si>
  <si>
    <t>0.289</t>
  </si>
  <si>
    <t>–34.3 a –24.3</t>
  </si>
  <si>
    <t>0.065</t>
  </si>
  <si>
    <t>4.03</t>
  </si>
  <si>
    <t>96.70</t>
  </si>
  <si>
    <t>CH2F2+CH3CHF2+ CF3CH=CHF (11)</t>
  </si>
  <si>
    <t>R-32/R-152A/R-1234ze[E] (12/5/83)</t>
  </si>
  <si>
    <t>R-444A</t>
  </si>
  <si>
    <t>ANEXO II</t>
  </si>
  <si>
    <t>0.303</t>
  </si>
  <si>
    <t>0.28</t>
  </si>
  <si>
    <t>–19</t>
  </si>
  <si>
    <t>0.061</t>
  </si>
  <si>
    <t>4.66</t>
  </si>
  <si>
    <t>114.0</t>
  </si>
  <si>
    <t>CF3CH=CHF (11)</t>
  </si>
  <si>
    <t>Trans 1,3,3,3 Tetrafluorpropeno</t>
  </si>
  <si>
    <t>R-1234ze[E]</t>
  </si>
  <si>
    <t>0.47</t>
  </si>
  <si>
    <t>–26</t>
  </si>
  <si>
    <t>0.058</t>
  </si>
  <si>
    <t>CF3CF=CH2 (11)</t>
  </si>
  <si>
    <t>2,3,3,3Tetrafluorpropeno</t>
  </si>
  <si>
    <t>R-1234yf</t>
  </si>
  <si>
    <t>–47</t>
  </si>
  <si>
    <t>CF3CH3 (11)</t>
  </si>
  <si>
    <t>1,1,1-Trifluoretano</t>
  </si>
  <si>
    <t>R-143a</t>
  </si>
  <si>
    <t>0.30</t>
  </si>
  <si>
    <t>–52</t>
  </si>
  <si>
    <t>CH2F2 (11)</t>
  </si>
  <si>
    <t>Difluormetano</t>
  </si>
  <si>
    <t>R-32</t>
  </si>
  <si>
    <t>–18.92</t>
  </si>
  <si>
    <t>CF3CF=CHF / CF3CHFCF3 (11)</t>
  </si>
  <si>
    <t>R-1234ze[E]/R-227EA (91,1 / 8,9)</t>
  </si>
  <si>
    <t>R-515B</t>
  </si>
  <si>
    <t>A1/A1</t>
  </si>
  <si>
    <t>– 38,3 ºC a – 30,5 ºC</t>
  </si>
  <si>
    <t> 88,6</t>
  </si>
  <si>
    <r>
      <t>O2+CH2F2+CHF2CF3+ CH2FCF3+CHFCHCF3+CF3CHFCF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</si>
  <si>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R-32/R-125/R-134A/R-1233zd[E]/R-601A (16,9/6,3/74,4/1,8/0,6)</t>
  </si>
  <si>
    <t>R-481A</t>
  </si>
  <si>
    <t>(11)</t>
  </si>
  <si>
    <t>– 46,5 ºC a – 21,7 ºC</t>
  </si>
  <si>
    <t>CO2+CHFCHCF3+CF3CHFCF3</t>
  </si>
  <si>
    <t>R-744/R-1234ze[E]/R-227EA (5/86/9) (11)</t>
  </si>
  <si>
    <t>R-480A</t>
  </si>
  <si>
    <t>– 87,6ºC  / – 83,0 ºC</t>
  </si>
  <si>
    <t>CF2=CH2/CHF3/CO2/CHF2CF3 (11)</t>
  </si>
  <si>
    <t>R-1132A/R-23/R-744/R-125 (20/10/60/10)</t>
  </si>
  <si>
    <t>R-473A</t>
  </si>
  <si>
    <t>CF3CH=CHF+CF3CHFCF3+CF3CH=CHCF3 (11)</t>
  </si>
  <si>
    <t>R-1234ze[E]/R-227EA/R-1336mzz[E] (78,7/4,3/17)</t>
  </si>
  <si>
    <t>R-471A</t>
  </si>
  <si>
    <t>–39,96 /  – 34,83</t>
  </si>
  <si>
    <r>
      <t>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-CHF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F+CH(CH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)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</si>
  <si>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R-125/R-143A/R-134A/R-600A (38/10/49,2/2,8)</t>
  </si>
  <si>
    <t>–62,7 a –35,6</t>
  </si>
  <si>
    <t>CO2+CH2F2+CHF2CF3+CH2FCF 3+CHFCHCF3+CF3CHFCF3 (11)</t>
  </si>
  <si>
    <t>R-744/R-32/R-125/R-134A/R-1234ze[E]/R-227EA (10/17/19/7/44/3)</t>
  </si>
  <si>
    <t>R-470A</t>
  </si>
  <si>
    <t>–62,9 a –31,7</t>
  </si>
  <si>
    <t>R-744/R-32/R-125/R-134A/R-1234ze[E]/R-227EA (10/11,5/11,5/3/57/7)</t>
  </si>
  <si>
    <t>R-470B</t>
  </si>
  <si>
    <t>0.32</t>
  </si>
  <si>
    <t>–46,5 a –36,9</t>
  </si>
  <si>
    <t>0.321</t>
  </si>
  <si>
    <t>88.27</t>
  </si>
  <si>
    <t>CH2F2+CHF2CF3+CHFCHF3+CF3CHFCF3 (11)</t>
  </si>
  <si>
    <t>R-32/R-125/R-1234ze[E]/R-227EA (27/27/40/6)</t>
  </si>
  <si>
    <t>R-464A</t>
  </si>
  <si>
    <t>–33,09 a –28,62</t>
  </si>
  <si>
    <t>0.15</t>
  </si>
  <si>
    <t>97.87</t>
  </si>
  <si>
    <t>CF3CH2F+CF3CHF2+CH2F2+CF3CH3 (11)</t>
  </si>
  <si>
    <t>R-134A/R-125/R-32/R-143A (84,93/7,51/4,99/2,57)</t>
  </si>
  <si>
    <t>–47.0 a –43.2</t>
  </si>
  <si>
    <t>4.30</t>
  </si>
  <si>
    <t>103.51</t>
  </si>
  <si>
    <t>R-32/R-125/R-1234yf (11/59/30)</t>
  </si>
  <si>
    <t>R-452A</t>
  </si>
  <si>
    <t>0.345</t>
  </si>
  <si>
    <t>–23.4 a –22.8</t>
  </si>
  <si>
    <t>0.319</t>
  </si>
  <si>
    <t>4.54</t>
  </si>
  <si>
    <t>108.67</t>
  </si>
  <si>
    <t>CF3CH2F+CF3CH=CHF (11)</t>
  </si>
  <si>
    <t>R-134A/R-1234ze[E] (42/58)</t>
  </si>
  <si>
    <t>R-450A</t>
  </si>
  <si>
    <t>0.357</t>
  </si>
  <si>
    <t>–46.0 a –39.9</t>
  </si>
  <si>
    <t>3.62</t>
  </si>
  <si>
    <t>87.21</t>
  </si>
  <si>
    <t>CF2F2+CF3CHF2+CF3CFCH2+ CF3CH2F (11)</t>
  </si>
  <si>
    <t>R-32/R-125/R-1234yf/R-134A (24,3/24,7/25,3/25,7)</t>
  </si>
  <si>
    <t>R-449A</t>
  </si>
  <si>
    <t>0.388</t>
  </si>
  <si>
    <t>–45.9 a –39.8</t>
  </si>
  <si>
    <t>3.58</t>
  </si>
  <si>
    <t>86.28</t>
  </si>
  <si>
    <t>CH2F2+CF3CHF2+CH2CFCF3+ CF3CH2F+CHFCHCF3 (11)</t>
  </si>
  <si>
    <t>R-32/R-125/R-1234yf/R-134A/R-1234ze[E] (26/26/20/21/7)</t>
  </si>
  <si>
    <t>R-448A</t>
  </si>
  <si>
    <t>0.33</t>
  </si>
  <si>
    <t>–52.7 a –46.5</t>
  </si>
  <si>
    <t>3.35</t>
  </si>
  <si>
    <t>81.8</t>
  </si>
  <si>
    <t>CH2F2+CHF2CF3+CH2FCF3+CH 3CHF2+CF3CHFCF3 (11)</t>
  </si>
  <si>
    <t>R-32/R-125/R-134A/R-152A/R-227EA (31/31/30/3/5)</t>
  </si>
  <si>
    <t>R-442A</t>
  </si>
  <si>
    <t>-42,52 a -34,98</t>
  </si>
  <si>
    <t>–44.5 a –42.5</t>
  </si>
  <si>
    <t>0.14</t>
  </si>
  <si>
    <t>88.4</t>
  </si>
  <si>
    <t>CH2F2+ CHF2F3+CH2FCF3+CF3CHFCF3+CH3(CH2)2CH3+(CH3)2CH-CH2-CH3 (11)</t>
  </si>
  <si>
    <t>R-32/R-125/R-134A/R-227EA/R-600/R-601 (20,0/20,0/53,8/5,0/0,6/0,6)</t>
  </si>
  <si>
    <t>R-453A</t>
  </si>
  <si>
    <t>0.079</t>
  </si>
  <si>
    <t>–43.0 a –36.4</t>
  </si>
  <si>
    <t>4.05</t>
  </si>
  <si>
    <t>99.1</t>
  </si>
  <si>
    <t>CH2F2+CHF2CF3+CH2FCF3++CF3CH2F+C4H10+C5H12+CH3 CH2CH2CH2CH3 (11)</t>
  </si>
  <si>
    <t>R-32/R-125/R-134A/R-600/R-601A (8,5/45,0/44,2/1,7/0,6)</t>
  </si>
  <si>
    <t>R-438A</t>
  </si>
  <si>
    <t>0.23</t>
  </si>
  <si>
    <t>–29.61 a –27.64</t>
  </si>
  <si>
    <t>0.27</t>
  </si>
  <si>
    <t>105.72</t>
  </si>
  <si>
    <t>CHF2CF3+C3F8+CF3CH2F (11)</t>
  </si>
  <si>
    <t>R-125/R-218/R-134A (11/4/85)</t>
  </si>
  <si>
    <t>0.081</t>
  </si>
  <si>
    <t>–32,9 a –29.2</t>
  </si>
  <si>
    <t>4.24</t>
  </si>
  <si>
    <t>103.71</t>
  </si>
  <si>
    <t>HF2CF3+CH2FCF3+CH(CH3)3+ CH3CH2CH2+CH2CH3 (11)</t>
  </si>
  <si>
    <t>R-125/R-134A/R-600/R-601 (19,5/78,5/1,4/0,6)</t>
  </si>
  <si>
    <t>R-437A</t>
  </si>
  <si>
    <t>–45,0 a –42,3</t>
  </si>
  <si>
    <t>4.32</t>
  </si>
  <si>
    <t>CHF2CF3+CH3CF3+CH2FCF3+C4H10 (11)</t>
  </si>
  <si>
    <t>R-125/R-143A/R-134A/R-600A (63,2/18,0/16,0/2,8)</t>
  </si>
  <si>
    <t>R-434A</t>
  </si>
  <si>
    <t>0.37</t>
  </si>
  <si>
    <t>–48,3 a –47,5</t>
  </si>
  <si>
    <t>4.40</t>
  </si>
  <si>
    <t>CHF2CF3+CH3CF3+ C3H8+C4H10 (11)</t>
  </si>
  <si>
    <t>R-125/R-143A/R-290/R-600A (77,5/20,0/0,6/1,9)</t>
  </si>
  <si>
    <t>R-428A</t>
  </si>
  <si>
    <t>0.29</t>
  </si>
  <si>
    <t>–43,0 a –36.3</t>
  </si>
  <si>
    <t>3.70</t>
  </si>
  <si>
    <t>CH2F2+CF3CHF2+CF3 CH3+CF3CH2F (11)</t>
  </si>
  <si>
    <t>R-32/R-125/R-143A/R-134A (15/25/10/50)</t>
  </si>
  <si>
    <t>R-427A</t>
  </si>
  <si>
    <t>CH2F2+ CF3CHF2+CF3CH3+ CF3CH2F (11)</t>
  </si>
  <si>
    <t>R-32/R-125/R-143A/R-134A (4,99/7,51/2,57/84,93)</t>
  </si>
  <si>
    <t>R-427</t>
  </si>
  <si>
    <t>0.083</t>
  </si>
  <si>
    <t>–28,5 a –26.7</t>
  </si>
  <si>
    <t>4.16</t>
  </si>
  <si>
    <t>CHF2CF3+ CH2FCF3+ C4H10+C5H12 (11)</t>
  </si>
  <si>
    <t>R-125/R-134A/R-600/R-601A (5,1/93,0/1,3/0,6)</t>
  </si>
  <si>
    <t>R-426A</t>
  </si>
  <si>
    <t>–38.1 a –31.3</t>
  </si>
  <si>
    <t>3.69</t>
  </si>
  <si>
    <t>90.3</t>
  </si>
  <si>
    <t>CH2F2+CF3CH2F+ CF3CHFCF3 (11)</t>
  </si>
  <si>
    <t>R-32/R-134A/R-227EA (18,5/69,5/12,0)</t>
  </si>
  <si>
    <t>R-425A</t>
  </si>
  <si>
    <t>0.10</t>
  </si>
  <si>
    <t>–39,1 a –33,3</t>
  </si>
  <si>
    <t>4.43</t>
  </si>
  <si>
    <t>CHF2CF3+CH2FCF3+C4H10 +C4H10+C5H12 (11)</t>
  </si>
  <si>
    <t>R-125/R-134A/R-600A/R-600/R-601A (50,5/47,0/0,9/1,0/0,6)</t>
  </si>
  <si>
    <t>R-424A</t>
  </si>
  <si>
    <t>–24.2 a –23.5</t>
  </si>
  <si>
    <t>5.15</t>
  </si>
  <si>
    <t>126.0</t>
  </si>
  <si>
    <t>CF3CH2F+ CF3CHFCF3 (11)</t>
  </si>
  <si>
    <t>R-134A/R-227EA (52,5/47,5)</t>
  </si>
  <si>
    <t>R-423A</t>
  </si>
  <si>
    <t>0.26</t>
  </si>
  <si>
    <t>–41.8 a –36.4</t>
  </si>
  <si>
    <t>4.47</t>
  </si>
  <si>
    <t>109.3</t>
  </si>
  <si>
    <t>CF3CHF2+CF3CH2F+CH(CH3)3 (11)</t>
  </si>
  <si>
    <t>R-125/R-134A/R-600A (58,0/39,3/2,7)</t>
  </si>
  <si>
    <t>R-422E</t>
  </si>
  <si>
    <t>–43.2 a –38.4</t>
  </si>
  <si>
    <t>4.49</t>
  </si>
  <si>
    <t>109.9</t>
  </si>
  <si>
    <t>CF3CHF2+CF3CH2F+CH(CH3)3(11)</t>
  </si>
  <si>
    <t>R-125/R-134A/R-600A (65,1/31,5/3,4)</t>
  </si>
  <si>
    <t>R-422D</t>
  </si>
  <si>
    <t>A1/A</t>
  </si>
  <si>
    <t>–45.3 a –42.3</t>
  </si>
  <si>
    <t>4.64</t>
  </si>
  <si>
    <t>113.4</t>
  </si>
  <si>
    <t>R-125/R-134A/R-600A (82/15/3)</t>
  </si>
  <si>
    <t>R-422C</t>
  </si>
  <si>
    <t>0.25</t>
  </si>
  <si>
    <t>–40.5 a –35.6</t>
  </si>
  <si>
    <t>4.44</t>
  </si>
  <si>
    <t>108.5</t>
  </si>
  <si>
    <t>R-125/R-134A/R-600A (55/42/3)</t>
  </si>
  <si>
    <t>R-422B</t>
  </si>
  <si>
    <t>–46.5 a –44.1</t>
  </si>
  <si>
    <t>4.65</t>
  </si>
  <si>
    <t>113.6</t>
  </si>
  <si>
    <t>CF3CHF+CF3CH2F+CH(CH3)3 (11)</t>
  </si>
  <si>
    <t>R-125/R-134A/R-600A (85,1/11,5/3,4)</t>
  </si>
  <si>
    <t>R-422A</t>
  </si>
  <si>
    <t>–45.7 a –42.6</t>
  </si>
  <si>
    <t>4.78</t>
  </si>
  <si>
    <t>116.9</t>
  </si>
  <si>
    <t>CF3CHF2+CF3CH2F (11)</t>
  </si>
  <si>
    <t>R-125/R-134A (85/15)</t>
  </si>
  <si>
    <t>R-421B</t>
  </si>
  <si>
    <r>
      <t>–40.8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35.5</t>
    </r>
  </si>
  <si>
    <t>4.57</t>
  </si>
  <si>
    <t>111.8</t>
  </si>
  <si>
    <t>R-125/R-134A (58,0/42,0)</t>
  </si>
  <si>
    <t>R-421A</t>
  </si>
  <si>
    <t>0.18</t>
  </si>
  <si>
    <r>
      <t>–24.9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24.2</t>
    </r>
  </si>
  <si>
    <t>101.9</t>
  </si>
  <si>
    <t>CF3CH2F+CClF2CH3 (10;11)</t>
  </si>
  <si>
    <t>R-134A/R-142B (88,0/12,0)</t>
  </si>
  <si>
    <t>R-420A</t>
  </si>
  <si>
    <t>–54</t>
  </si>
  <si>
    <t>0.49</t>
  </si>
  <si>
    <t>113.9</t>
  </si>
  <si>
    <t>CF3CHF2+ C3H8+ C3F8 (11)</t>
  </si>
  <si>
    <t>R-125/R-290/R-218 (86/5/9)</t>
  </si>
  <si>
    <t>R-119A</t>
  </si>
  <si>
    <t>0.097</t>
  </si>
  <si>
    <r>
      <t>–32.7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29.2</t>
    </r>
  </si>
  <si>
    <t>103.7</t>
  </si>
  <si>
    <t>CF3CHF2+ CF3CH2F+ C4H10 (11)</t>
  </si>
  <si>
    <t>R-125/R-134A/R-600 (19,5/78,8/1,7)</t>
  </si>
  <si>
    <t>R-417C</t>
  </si>
  <si>
    <t>0.069</t>
  </si>
  <si>
    <t>–44,9 a –41,5</t>
  </si>
  <si>
    <t>4.63</t>
  </si>
  <si>
    <t>113.1</t>
  </si>
  <si>
    <t>R-125/R-134A/R-600 (79,0/18,3/2,7)</t>
  </si>
  <si>
    <t>R-417B</t>
  </si>
  <si>
    <t>A/A1</t>
  </si>
  <si>
    <t>0.057</t>
  </si>
  <si>
    <t>–38.0 a –32.9</t>
  </si>
  <si>
    <t>4.36</t>
  </si>
  <si>
    <t>106.7</t>
  </si>
  <si>
    <t>R-125/R-134A/R-600 (46,6/50,0/3,4)</t>
  </si>
  <si>
    <t>R-417A</t>
  </si>
  <si>
    <t>0.064</t>
  </si>
  <si>
    <t>–23.9 a –22.1</t>
  </si>
  <si>
    <t>4.58</t>
  </si>
  <si>
    <t>111.9</t>
  </si>
  <si>
    <t>CF3CH2F+ CF3CHClF+ C4H10 (10;11)</t>
  </si>
  <si>
    <t>R-134A/R-124/R-600 (59,0/39,5/1,5)</t>
  </si>
  <si>
    <t>R-416A</t>
  </si>
  <si>
    <t>0.096</t>
  </si>
  <si>
    <t>–33.2 a –24.7</t>
  </si>
  <si>
    <t>3.86</t>
  </si>
  <si>
    <t>101.6</t>
  </si>
  <si>
    <t>CHClF2+CF3CHClF+CH(CH3)3+CH3CClF2 (10;11)</t>
  </si>
  <si>
    <t>R-22/R-124/R-600A/R-142B (50,0/39,0/1,5/9,5)</t>
  </si>
  <si>
    <t>R-414B</t>
  </si>
  <si>
    <t>3.96</t>
  </si>
  <si>
    <t>97.0</t>
  </si>
  <si>
    <t>R-22/R-124/R-600A/R-142B (51,0/28,5/4,0/16,5)</t>
  </si>
  <si>
    <t>R-414A</t>
  </si>
  <si>
    <t>–45.6</t>
  </si>
  <si>
    <t>0.41</t>
  </si>
  <si>
    <t>95.6</t>
  </si>
  <si>
    <t>CF3CHF2+ CF3CH3+ C3H8+CHClF2 (10;11)</t>
  </si>
  <si>
    <t>R-125/R-143A/R-290/R-22 (42/6/2/50)</t>
  </si>
  <si>
    <t>–34.1</t>
  </si>
  <si>
    <t>0.45</t>
  </si>
  <si>
    <t>102.7</t>
  </si>
  <si>
    <t>CHClF2+ CF3CHClF+ C4H10 (10;11)</t>
  </si>
  <si>
    <t>R-22/R-124/R-600 (50/47/3)</t>
  </si>
  <si>
    <t>0.43</t>
  </si>
  <si>
    <t>–51.5 a –51.4</t>
  </si>
  <si>
    <t>3.09</t>
  </si>
  <si>
    <t>75.5</t>
  </si>
  <si>
    <t>CH2F2+ CF3CHF2 (11)</t>
  </si>
  <si>
    <t>R-32/R-125 (45/55)</t>
  </si>
  <si>
    <t>R-410B</t>
  </si>
  <si>
    <t>A1 / A1</t>
  </si>
  <si>
    <t>0.42</t>
  </si>
  <si>
    <t>–51.6 a –51.5</t>
  </si>
  <si>
    <t>0.44</t>
  </si>
  <si>
    <t>2.97</t>
  </si>
  <si>
    <t>72.6</t>
  </si>
  <si>
    <t>R-32/R-125 (50/50)</t>
  </si>
  <si>
    <t>R-410A</t>
  </si>
  <si>
    <t>0.12</t>
  </si>
  <si>
    <t>–35.8 a –28.2</t>
  </si>
  <si>
    <t>0.17</t>
  </si>
  <si>
    <t>3.95</t>
  </si>
  <si>
    <t>96.7</t>
  </si>
  <si>
    <t>CHClF2+ CF3CHClF+ CH3CClF2 (10;11)</t>
  </si>
  <si>
    <t>R-22/R-124/R-142B (65/25/10)</t>
  </si>
  <si>
    <t>R-409B</t>
  </si>
  <si>
    <t>–34.7 a –26.3</t>
  </si>
  <si>
    <t>0.16</t>
  </si>
  <si>
    <t>3.98</t>
  </si>
  <si>
    <t>97.5</t>
  </si>
  <si>
    <t>R-22/R-124/R-142B (60/25/15)</t>
  </si>
  <si>
    <t>R-409A</t>
  </si>
  <si>
    <t>44.6 a –44.1</t>
  </si>
  <si>
    <t>3.56</t>
  </si>
  <si>
    <t>87.0</t>
  </si>
  <si>
    <t>CF3CHF2+ CF3CH3+ CHClF2 (10;11)</t>
  </si>
  <si>
    <t>R-125/R-143A/R-22 (7/46/47)</t>
  </si>
  <si>
    <t>R-408A</t>
  </si>
  <si>
    <t>–44,7 a –37,6</t>
  </si>
  <si>
    <t>42.03</t>
  </si>
  <si>
    <t>CH2F2 / CHF2-CF3 / CF3CH2F (11)</t>
  </si>
  <si>
    <t>R-32/R-125/R-134A (32,5/15,0/52,5)</t>
  </si>
  <si>
    <t>R-407H</t>
  </si>
  <si>
    <t>–46.1 a –39.7</t>
  </si>
  <si>
    <t>3.36</t>
  </si>
  <si>
    <t>82.1</t>
  </si>
  <si>
    <t>CH2F2+ CF3CHF2+ CF3CH2F (11)</t>
  </si>
  <si>
    <t>R-32/R-125/R-134A (30/30/40)</t>
  </si>
  <si>
    <t>R-407F</t>
  </si>
  <si>
    <t>–42.8 a –35.6</t>
  </si>
  <si>
    <t>0.40</t>
  </si>
  <si>
    <t>3.43</t>
  </si>
  <si>
    <t>83.8</t>
  </si>
  <si>
    <t>R-32/R-125/R-134A (25/15/60)</t>
  </si>
  <si>
    <t>R-407E</t>
  </si>
  <si>
    <t>–39.4 a –32.7</t>
  </si>
  <si>
    <t>3.72</t>
  </si>
  <si>
    <t>90.9</t>
  </si>
  <si>
    <t>R-32/R-125/R-134A (15/15/70)</t>
  </si>
  <si>
    <t>R-407D</t>
  </si>
  <si>
    <t>–43.8 a –36.7</t>
  </si>
  <si>
    <t>0.31</t>
  </si>
  <si>
    <t>3.53</t>
  </si>
  <si>
    <t>86.2</t>
  </si>
  <si>
    <t>R-32/R-125/R-134A (23/25/52)</t>
  </si>
  <si>
    <t>R-407C</t>
  </si>
  <si>
    <t>–46.8 a –42.4</t>
  </si>
  <si>
    <t>0.35</t>
  </si>
  <si>
    <t>4.21</t>
  </si>
  <si>
    <t>102.9</t>
  </si>
  <si>
    <t>R-32/R-125/R-134A (10/70/20)</t>
  </si>
  <si>
    <t>R-407B</t>
  </si>
  <si>
    <t>–45.2 a –38.7</t>
  </si>
  <si>
    <t>3.68</t>
  </si>
  <si>
    <t>90.1</t>
  </si>
  <si>
    <t>R-32/R-125/R-134A (20/40/40)</t>
  </si>
  <si>
    <t>R-407A</t>
  </si>
  <si>
    <t>–32.8 a –24.4</t>
  </si>
  <si>
    <t>CHClF2+ CHF2CH3+ CH3CClF2+ C4F8 (10;11)</t>
  </si>
  <si>
    <t>R-22/R-152A/R-142B/R-C318 (45/7/5,5/42,5)</t>
  </si>
  <si>
    <t>R-405A</t>
  </si>
  <si>
    <t>0.52</t>
  </si>
  <si>
    <t>–46.5 a –45.7</t>
  </si>
  <si>
    <t>3.99</t>
  </si>
  <si>
    <t>97.6</t>
  </si>
  <si>
    <t>CF3CHF2+ CF3CH3+ CF3CH2F (11)</t>
  </si>
  <si>
    <t>R-125/R-143A/R-134A (44/52/4)</t>
  </si>
  <si>
    <t>R-404A</t>
  </si>
  <si>
    <t>–49.1 a –46.84</t>
  </si>
  <si>
    <t>4.22</t>
  </si>
  <si>
    <t>103.3</t>
  </si>
  <si>
    <t>C3H8+CHClF2+ C3F8 (10;11)</t>
  </si>
  <si>
    <t>R-290/R-22/R-218 (5/56/39)</t>
  </si>
  <si>
    <t>R-403B</t>
  </si>
  <si>
    <t>0.80</t>
  </si>
  <si>
    <t>0.24</t>
  </si>
  <si>
    <t>–47.7 a –44.3</t>
  </si>
  <si>
    <t>3.76</t>
  </si>
  <si>
    <t>R-290/R-22/R-218 (5/75/20)</t>
  </si>
  <si>
    <t>R-403A</t>
  </si>
  <si>
    <t>–47.2 a –44.8</t>
  </si>
  <si>
    <t>3.87</t>
  </si>
  <si>
    <t>94.7</t>
  </si>
  <si>
    <t>CF3CHF2+ C3H8+ CHClF2 (10;11)</t>
  </si>
  <si>
    <t>R-125/R-290/R-22 (38/2/60)</t>
  </si>
  <si>
    <t>R-402B</t>
  </si>
  <si>
    <t>–49.2 a –47.0</t>
  </si>
  <si>
    <t>101.5</t>
  </si>
  <si>
    <t>R-125/R-290/R-22 (60/2/38)</t>
  </si>
  <si>
    <t>R-402A</t>
  </si>
  <si>
    <t>–28.9 a –23.3</t>
  </si>
  <si>
    <t>4.13</t>
  </si>
  <si>
    <t>CHClF2+ CHF2CH3+ CF3CHClF (10;11)</t>
  </si>
  <si>
    <t>R-22/R-152A/R-124 (33/15/52)</t>
  </si>
  <si>
    <t>R-401C</t>
  </si>
  <si>
    <t>0.11</t>
  </si>
  <si>
    <t>–34.9 a –29.6</t>
  </si>
  <si>
    <t>3.80</t>
  </si>
  <si>
    <t>92.8</t>
  </si>
  <si>
    <t>CHClF2+ CHF2CH3 CF3CHClF (10;11)</t>
  </si>
  <si>
    <t>R-22/R-152A/R-124 (61/11/28)</t>
  </si>
  <si>
    <t>R-401B</t>
  </si>
  <si>
    <t>33.4 a –27.8</t>
  </si>
  <si>
    <t>0.3</t>
  </si>
  <si>
    <t>94.4</t>
  </si>
  <si>
    <t>CHClF2+ CHF2CH3+CF3CHClF (10;11)</t>
  </si>
  <si>
    <t>R-22/R-152A/R-124 (53/13/34)</t>
  </si>
  <si>
    <t>R-401A</t>
  </si>
  <si>
    <t>0.072</t>
  </si>
  <si>
    <t>–78</t>
  </si>
  <si>
    <t>0.1</t>
  </si>
  <si>
    <t>1.80</t>
  </si>
  <si>
    <t>44.0</t>
  </si>
  <si>
    <t>CO2</t>
  </si>
  <si>
    <t>Dióxido de carbono</t>
  </si>
  <si>
    <t>R-744</t>
  </si>
  <si>
    <t>A1</t>
  </si>
  <si>
    <t>H2O</t>
  </si>
  <si>
    <t>Agua</t>
  </si>
  <si>
    <t>R-718</t>
  </si>
  <si>
    <t>–29.05</t>
  </si>
  <si>
    <t>108.4</t>
  </si>
  <si>
    <t>CH2FCF3+CF3CF=CH2 (11)</t>
  </si>
  <si>
    <t>R-134A/R-1234yf (44/56)</t>
  </si>
  <si>
    <t>R513A</t>
  </si>
  <si>
    <t>0.38</t>
  </si>
  <si>
    <t>–47.0</t>
  </si>
  <si>
    <t>0.56</t>
  </si>
  <si>
    <t>5.07</t>
  </si>
  <si>
    <t>CHClF2+ C3F8 (10;11)</t>
  </si>
  <si>
    <t>R-22/R-218 (44/56)</t>
  </si>
  <si>
    <t>R-509A</t>
  </si>
  <si>
    <t>0.2</t>
  </si>
  <si>
    <t>–88.3</t>
  </si>
  <si>
    <t>3.90</t>
  </si>
  <si>
    <t>95.4</t>
  </si>
  <si>
    <t>CHF3+C2F6 (11)</t>
  </si>
  <si>
    <t>R-23/R-116 (46/54)</t>
  </si>
  <si>
    <t>R-508B</t>
  </si>
  <si>
    <t>–86.0</t>
  </si>
  <si>
    <t>4.09</t>
  </si>
  <si>
    <t>100.1</t>
  </si>
  <si>
    <t>CHF3+C2F6(11)</t>
  </si>
  <si>
    <t>R-23/R-116 (39/61)</t>
  </si>
  <si>
    <t>R-508A</t>
  </si>
  <si>
    <t>0.53</t>
  </si>
  <si>
    <t>–46.7</t>
  </si>
  <si>
    <t>4.04</t>
  </si>
  <si>
    <t>98.9</t>
  </si>
  <si>
    <t>CF3CHF2CF3CH3 (11)</t>
  </si>
  <si>
    <t>R-125/R-143A (50/50)</t>
  </si>
  <si>
    <t>R-507A</t>
  </si>
  <si>
    <t>–57</t>
  </si>
  <si>
    <t>3.24</t>
  </si>
  <si>
    <t>79.2</t>
  </si>
  <si>
    <t>CH2F2+CClF2CF3 (10;11)</t>
  </si>
  <si>
    <t>R-32/R-115 (48,2/51,8)</t>
  </si>
  <si>
    <t>R-504</t>
  </si>
  <si>
    <t>–88.7</t>
  </si>
  <si>
    <t>CHF3+CClF3(10;11)</t>
  </si>
  <si>
    <t>R-23/R-13 (40,1/59,9)</t>
  </si>
  <si>
    <t>R-503</t>
  </si>
  <si>
    <t>–45.4</t>
  </si>
  <si>
    <t>4.56</t>
  </si>
  <si>
    <t>CHClF2+ CF3CClF2(10;11)</t>
  </si>
  <si>
    <t>R-22/R-115 (48,8/51,2)</t>
  </si>
  <si>
    <t>R-502</t>
  </si>
  <si>
    <t>0.21</t>
  </si>
  <si>
    <t>–41.0</t>
  </si>
  <si>
    <t>3.81</t>
  </si>
  <si>
    <t>93.1</t>
  </si>
  <si>
    <t>CCl2F2 + CHClF2 (10;11)</t>
  </si>
  <si>
    <t>R-22/R-12 (75/25)</t>
  </si>
  <si>
    <t>R-501</t>
  </si>
  <si>
    <t>–33.5</t>
  </si>
  <si>
    <t>0.4</t>
  </si>
  <si>
    <t>4.06</t>
  </si>
  <si>
    <t>99.3</t>
  </si>
  <si>
    <t>CCl2F2 + CHF2CH3 (10;11)</t>
  </si>
  <si>
    <t>R-12/R-152A (73,8/26,2)</t>
  </si>
  <si>
    <t>R-500</t>
  </si>
  <si>
    <t>PFC</t>
  </si>
  <si>
    <t>0.65</t>
  </si>
  <si>
    <t>–6</t>
  </si>
  <si>
    <t>0.81</t>
  </si>
  <si>
    <t>8.18</t>
  </si>
  <si>
    <t>200.0</t>
  </si>
  <si>
    <t>C4F8(11)</t>
  </si>
  <si>
    <t>Octofluorciclobutano</t>
  </si>
  <si>
    <t>R-C318</t>
  </si>
  <si>
    <t>0.086</t>
  </si>
  <si>
    <t>18.1</t>
  </si>
  <si>
    <t>5.34</t>
  </si>
  <si>
    <t>130.5</t>
  </si>
  <si>
    <t>CF3CH=CHCl(11)</t>
  </si>
  <si>
    <t>Trans-1-cloro-3,3,3trifluorprop-1-N</t>
  </si>
  <si>
    <t>R-1233zd[E]</t>
  </si>
  <si>
    <t>–1</t>
  </si>
  <si>
    <t>0.59</t>
  </si>
  <si>
    <t>6.22</t>
  </si>
  <si>
    <t>152.0</t>
  </si>
  <si>
    <t>CF3CH2CF3(11)</t>
  </si>
  <si>
    <t>1,1,1,3,3,3-Hexafluorpropano</t>
  </si>
  <si>
    <t>R-236FA</t>
  </si>
  <si>
    <t>0.63</t>
  </si>
  <si>
    <t>–15</t>
  </si>
  <si>
    <t>6.95</t>
  </si>
  <si>
    <t>170.0</t>
  </si>
  <si>
    <t>CF3CHFCF3(11)</t>
  </si>
  <si>
    <t>1,1,1,2,3,3,3-Heptafluorpropano</t>
  </si>
  <si>
    <t>R-227EA</t>
  </si>
  <si>
    <t>0.85</t>
  </si>
  <si>
    <t>–37</t>
  </si>
  <si>
    <t>1.84</t>
  </si>
  <si>
    <t>7.69</t>
  </si>
  <si>
    <t>188.0</t>
  </si>
  <si>
    <t>CF3CF2CF3 (11)</t>
  </si>
  <si>
    <t>Octofluorpropano</t>
  </si>
  <si>
    <t>R-218</t>
  </si>
  <si>
    <t>4.17</t>
  </si>
  <si>
    <t>102.0</t>
  </si>
  <si>
    <t>CF3CH2F(11)</t>
  </si>
  <si>
    <t>1,1,1,2-Tetrafluoretano</t>
  </si>
  <si>
    <t>R-134a</t>
  </si>
  <si>
    <t>–49</t>
  </si>
  <si>
    <t>0.39</t>
  </si>
  <si>
    <t>4.91</t>
  </si>
  <si>
    <t>120.0</t>
  </si>
  <si>
    <t>CF3CHF2(11)</t>
  </si>
  <si>
    <t>Pentafluoretano</t>
  </si>
  <si>
    <t>R-125</t>
  </si>
  <si>
    <t>5.58</t>
  </si>
  <si>
    <t>136.5</t>
  </si>
  <si>
    <t>CF3CHClF(10)</t>
  </si>
  <si>
    <t>2-Cloro-1,1,1,2tetrafluoretano</t>
  </si>
  <si>
    <t>R-124</t>
  </si>
  <si>
    <t>0.68</t>
  </si>
  <si>
    <t>5.64</t>
  </si>
  <si>
    <t>138.0</t>
  </si>
  <si>
    <t>CF3CF3(11)</t>
  </si>
  <si>
    <t>Hexafluoretano</t>
  </si>
  <si>
    <t>R-116</t>
  </si>
  <si>
    <t>R-227ea</t>
  </si>
  <si>
    <t>0.76</t>
  </si>
  <si>
    <t>–39</t>
  </si>
  <si>
    <t>6.32</t>
  </si>
  <si>
    <t>154.5</t>
  </si>
  <si>
    <t>CF3CClF2(10)</t>
  </si>
  <si>
    <t>2-Cloro-1,1,1,2,2pentafluoretano</t>
  </si>
  <si>
    <t>R-115</t>
  </si>
  <si>
    <t>0.7</t>
  </si>
  <si>
    <t>6.99</t>
  </si>
  <si>
    <t>170.9</t>
  </si>
  <si>
    <t>CClF2CCIF2(10)</t>
  </si>
  <si>
    <t>1,2-Dicloro-1,1,2,2 tetrafluoretano</t>
  </si>
  <si>
    <t>R-114</t>
  </si>
  <si>
    <t>187.4</t>
  </si>
  <si>
    <t>CCL2FCCIF2(10)</t>
  </si>
  <si>
    <t>1,1,2-Tricloro-1,2,2trifluoretano</t>
  </si>
  <si>
    <t>R-113</t>
  </si>
  <si>
    <t>–82</t>
  </si>
  <si>
    <t>2.86</t>
  </si>
  <si>
    <t>70.0</t>
  </si>
  <si>
    <t>CHF3(11)</t>
  </si>
  <si>
    <t>Trifluormetano</t>
  </si>
  <si>
    <t>R-23</t>
  </si>
  <si>
    <t>–41</t>
  </si>
  <si>
    <t>3.54</t>
  </si>
  <si>
    <t>86.5</t>
  </si>
  <si>
    <t>CHClF2(10)</t>
  </si>
  <si>
    <t>Clorodifluormetano</t>
  </si>
  <si>
    <t>R-22</t>
  </si>
  <si>
    <t>–128</t>
  </si>
  <si>
    <t>3.60</t>
  </si>
  <si>
    <t>88.0</t>
  </si>
  <si>
    <t>CF4(11)</t>
  </si>
  <si>
    <t>Tetrafluoruro de carbono</t>
  </si>
  <si>
    <t>R-14</t>
  </si>
  <si>
    <t>–58</t>
  </si>
  <si>
    <t>0.6</t>
  </si>
  <si>
    <t>6.09</t>
  </si>
  <si>
    <t>148.9</t>
  </si>
  <si>
    <t>CBrF3(10)</t>
  </si>
  <si>
    <t>Bromotrifluormetano</t>
  </si>
  <si>
    <t>R-13B1</t>
  </si>
  <si>
    <t>–81</t>
  </si>
  <si>
    <t>0.5</t>
  </si>
  <si>
    <t>4.27</t>
  </si>
  <si>
    <t>104.5</t>
  </si>
  <si>
    <t>CClF3(10)</t>
  </si>
  <si>
    <t>Clorotrifluormetano</t>
  </si>
  <si>
    <t>R-13</t>
  </si>
  <si>
    <t>–4</t>
  </si>
  <si>
    <t>6.76</t>
  </si>
  <si>
    <t>165.4</t>
  </si>
  <si>
    <t>CBrClF2(10)</t>
  </si>
  <si>
    <t>Bromoclorodiflurometano</t>
  </si>
  <si>
    <t>R-12B1</t>
  </si>
  <si>
    <t>0.088</t>
  </si>
  <si>
    <t>–29</t>
  </si>
  <si>
    <t>4.94</t>
  </si>
  <si>
    <t>120.9</t>
  </si>
  <si>
    <t>CCl2F2(10)</t>
  </si>
  <si>
    <t>Diclorodiflurometano</t>
  </si>
  <si>
    <t>R-12</t>
  </si>
  <si>
    <t>0.0062</t>
  </si>
  <si>
    <t>5.62</t>
  </si>
  <si>
    <t>137.4</t>
  </si>
  <si>
    <t>CCl3F(10)</t>
  </si>
  <si>
    <t>Triclorofluormetano</t>
  </si>
  <si>
    <t>R-11</t>
  </si>
  <si>
    <r>
      <t>kg/m</t>
    </r>
    <r>
      <rPr>
        <b/>
        <vertAlign val="superscript"/>
        <sz val="9"/>
        <color rgb="FF333333"/>
        <rFont val="Arial Narrow"/>
        <family val="2"/>
      </rPr>
      <t>3</t>
    </r>
  </si>
  <si>
    <t>Denominación R-XXX</t>
  </si>
  <si>
    <t>Límite inferior de Inflamabilidad</t>
  </si>
  <si>
    <t>Temp. Autoignición °C</t>
  </si>
  <si>
    <t>Clase de seguridad</t>
  </si>
  <si>
    <t>Grupo L</t>
  </si>
  <si>
    <t xml:space="preserve"> 5 ton CO2 eq en kg de refrigerante</t>
  </si>
  <si>
    <t>40 Ton CO2 eq en kg de refrigerante</t>
  </si>
  <si>
    <t>tipo de GF</t>
  </si>
  <si>
    <t>Gas fluorado?</t>
  </si>
  <si>
    <t>Clasificación del refrigerantes</t>
  </si>
  <si>
    <t>Clasif. según: REP</t>
  </si>
  <si>
    <t>Potencial agotamiento de la capa de ozono PAO</t>
  </si>
  <si>
    <t>Potencial de calentamiento atmosférico PCA 100</t>
  </si>
  <si>
    <t>Inflamabilidad</t>
  </si>
  <si>
    <t>ATEL / ODL (kg/m3)</t>
  </si>
  <si>
    <t>Punto de Ebullición 101,3 kPa</t>
  </si>
  <si>
    <t>Límite Práctico</t>
  </si>
  <si>
    <t>Densidad de vapor a 25 ºC a 101,3 kPa</t>
  </si>
  <si>
    <t>Masa Molecular (3)</t>
  </si>
  <si>
    <t>Fórmula</t>
  </si>
  <si>
    <t>DENOMINACIÓN</t>
  </si>
  <si>
    <t>N.º de Refrigerante (2)</t>
  </si>
  <si>
    <t>Clasificación</t>
  </si>
  <si>
    <t>Reciclado/regenerado</t>
  </si>
  <si>
    <t>Virgen</t>
  </si>
  <si>
    <t>TIPO DE EQUIPO</t>
  </si>
  <si>
    <t>Fecha límite</t>
  </si>
  <si>
    <t>TIPO DE GAS</t>
  </si>
  <si>
    <t>PCA LÍMITE</t>
  </si>
  <si>
    <t>PCA AUMENTADO</t>
  </si>
  <si>
    <t>EXCEPCIONES</t>
  </si>
  <si>
    <t>¿Sellado herméticamente?</t>
  </si>
  <si>
    <t>Edificio residencial</t>
  </si>
  <si>
    <t>Frigoríficos y congeladores domésticos que contiene HFC con un PCA &gt; 150</t>
  </si>
  <si>
    <t xml:space="preserve"> </t>
  </si>
  <si>
    <t>No</t>
  </si>
  <si>
    <t>SÍ</t>
  </si>
  <si>
    <t>Sí</t>
  </si>
  <si>
    <t>Frigoríficos y congeladores domésticos que contiene GFEI, salvo que sean necesarios para cumplir los requisitos de seguridad en la zona de operación</t>
  </si>
  <si>
    <t>GFEI</t>
  </si>
  <si>
    <t>Condiciones de seguridad</t>
  </si>
  <si>
    <t>NO</t>
  </si>
  <si>
    <t>Frigoríficos y congealdores comerciales  con HFC con una PCA &gt;= 2500</t>
  </si>
  <si>
    <t>Frigoríficos y congealdores comerciales  con HFC con una PCA &gt;= 150</t>
  </si>
  <si>
    <t>Aplicaciones especiales</t>
  </si>
  <si>
    <t>Frigoríficos y congealdores comerciales  con GFEI con una PCA &gt;= 150</t>
  </si>
  <si>
    <t>Equipo militar</t>
  </si>
  <si>
    <t>Aparatos de refrigeración autónomos, salvo enfriadores, que contienen GFEI con PCA &gt;=150, salvo que sea necesario para cumplir las condiciones de seguridad en la zona de operación</t>
  </si>
  <si>
    <t>Temperatura por debajo de -50ºC</t>
  </si>
  <si>
    <t>Aparatos de refrigeración no contemplados anteriormente que contienen HFC con PCA &gt;=2500 y que no sean de aplicaciones co T &lt; -50 ºC</t>
  </si>
  <si>
    <t>Aparatos de refrigeración no contemplados anteriormente que contienen GFEI con PCA &gt;=2500 y que no sean de aplicaciones con T &lt; -50 ºc</t>
  </si>
  <si>
    <t>Aparatos de refrigeración no contemplados anteriormente que contienen GFEI con PCA &gt;=150 salvo que se requiera para cumplir condiciones de seguridad</t>
  </si>
  <si>
    <t xml:space="preserve">Sistemas de refrigeración centralizada multicompresor compactos con P&gt;=40 kW, con HFC/PFC con PCA &gt;= 150. </t>
  </si>
  <si>
    <t>Sistemas de refrigeración centralizada multicompresor compactos con P&gt;=40 kW, funcionando en cascada con un circuito primario con GFEI con PCA &lt; 1500</t>
  </si>
  <si>
    <t>Enfriadoras con HFC con PCA &gt;=2500, salvo aparatos para aplicaciones con T &lt; -50 ºC</t>
  </si>
  <si>
    <t>Enfriadoras con P &lt; 12 Kw que contienen GFEI con PCA &gt;= 150,  salvo si se requiere para cumplir las condiciones de seguridad</t>
  </si>
  <si>
    <t>Enfriadoras con P &lt; 12 Kw que continene GFEI, salvo que se requiera para cumplir las condicones de seguridad</t>
  </si>
  <si>
    <t>Enfriadoras con PCA &gt; 12 Kw que contienen GFEI con PCA &gt;= 750, salvo que se requiera para cumplir las condiciones de seguridad</t>
  </si>
  <si>
    <t>A/C y bombas de calor monobloque portátiles que se pueden cambiar de ubicación que contengan HFC con PCA &gt;= 150</t>
  </si>
  <si>
    <t>A/C y bombas de calor monobloque, con P &lt; 12 kw y que contienen GFEI con PCA &gt;= 150, salvo que sea necesario para cumplir las condiciones de seguridad. El PCA podrá aumentarse a 750 si sirve para cumplir las condiciones de seguridad.</t>
  </si>
  <si>
    <t>A/C y bombas de calor monobloque con P &lt; 12 KW, que contienen GFEI, salvo que sea necesario para cumplir las condiciones de operación. El PCA podrá aumentarse a 750.</t>
  </si>
  <si>
    <t>A/C y bombas de calor monobloque con 12=&lt; P &lt; 50 que continen GFEI con PCA &gt;= 150 salvo que sea necesario para cumplir las condicones de operación que entonces el límite será de 750</t>
  </si>
  <si>
    <t>Otros A/C y bombas de calor monobloque que contengan GFEI, con PCA &gt; 150. Se podrá usar gases con PCA &lt;750 si se necesita por condiciones de seguridad.</t>
  </si>
  <si>
    <t>A/C y bombas de calor partidos, sistemas de &lt; 3kg con GFEI del anexo I (HFC, PFC), con un PCA &gt;750</t>
  </si>
  <si>
    <t>A/C y bombas de calor partidos aire-agua de hasta 12 kW que contengan GFEI, con PCA &gt; 150 salvo que se requiera para cumplir los requisitos de seguridad.</t>
  </si>
  <si>
    <t>A/C y bombas de calor partidos aire-aire de hasta 12 kW  con GFEI con PCA &gt; 150 salvo para cumplir  las condiciones de seguridad.</t>
  </si>
  <si>
    <t>A/C y bombas de calor partidos de potencia hasta 12 kW con  GFEI salvo que sea necesario para cumplir las condiciones de seguridad de la zona de operación</t>
  </si>
  <si>
    <t>A/C y bombas de calor partidos de potencia superior a 12 kW con GFEI con PCA &gt; 750 salvo que se requieraa para cumplir las condicones de seguridad de la zona de operación</t>
  </si>
  <si>
    <t>A/C y bombas de calor partidos con potencia &gt; 12 kW con GFEI &gt; 150 salvo si se requiere para cumplir los requisitos de la zona de operación</t>
  </si>
  <si>
    <t>NOMENCLATURA REFRIGERANTE</t>
  </si>
  <si>
    <t>PCA REFRIGERANTE</t>
  </si>
  <si>
    <t>REFRIGERANTE // PCA</t>
  </si>
  <si>
    <t xml:space="preserve">TIPO DE GAS </t>
  </si>
  <si>
    <t>EQUIPO SELLADO HERMÉTICAMENTE</t>
  </si>
  <si>
    <t>CARGA DE REFRIGERANTE (KG) / TON CO2</t>
  </si>
  <si>
    <t>CARGA REFRIGERANTE EN KG</t>
  </si>
  <si>
    <t>TON DE CO2 EQUIVALENTE</t>
  </si>
  <si>
    <t>PRECARGA DE LA MÁQUINA</t>
  </si>
  <si>
    <t>CARGA IN SITU</t>
  </si>
  <si>
    <t>¿REGLAMENTO UE 573/2024 // REGLAMENTO UE 590/2024 // OTRO?</t>
  </si>
  <si>
    <t>¿CONTROL DE FUGAS? (F-GAS/ SUSTANCIAS QUE AGOTA LA CAPA DE OZONO)</t>
  </si>
  <si>
    <t>¿DESTRUCCIÓN DEL REFRIGERANTE?</t>
  </si>
  <si>
    <t>TIPO DE APARATO</t>
  </si>
  <si>
    <t>EXENCIONES PERMITIDAS</t>
  </si>
  <si>
    <t>VALOR LÍMITE PCA 1</t>
  </si>
  <si>
    <t>VALOR LÍMITE PCA 2</t>
  </si>
  <si>
    <t>FECHA DE PUESTA EN SERVICIO</t>
  </si>
  <si>
    <t>FECHA DE PROHIBICIÓN DE COMERCIALIZACIÓN</t>
  </si>
  <si>
    <t>GASES AFECTADOS</t>
  </si>
  <si>
    <t>Evaluación</t>
  </si>
  <si>
    <t>¿Gas afectado?</t>
  </si>
  <si>
    <t>¿Fecha?</t>
  </si>
  <si>
    <t>¿Aplicación especial?</t>
  </si>
  <si>
    <t>¿PCA me paso?</t>
  </si>
  <si>
    <t>¿Hay exenciones?</t>
  </si>
  <si>
    <t>¿Puedo aumentar PCA?</t>
  </si>
  <si>
    <t>¿Hay otro límite de PCA?</t>
  </si>
  <si>
    <t>¿PCA 2 me paso?</t>
  </si>
  <si>
    <t>SÓLO PARA APLICACIONES NO ESPECIALES</t>
  </si>
  <si>
    <t>EQUIPO MILITAR</t>
  </si>
  <si>
    <t>APLICACIONES CRIOGÉNICAS</t>
  </si>
  <si>
    <t>LOGO EMPRESA</t>
  </si>
  <si>
    <t>LOGO ASOCIACIÓN</t>
  </si>
  <si>
    <t>Empresa Asociada a:</t>
  </si>
  <si>
    <t>Kilogramos (kg)</t>
  </si>
  <si>
    <r>
      <t>Ton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 eq.</t>
    </r>
  </si>
  <si>
    <r>
      <t>TOTAL (kg) /(Ton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eq)</t>
    </r>
  </si>
  <si>
    <t>HOJA EXCEL ELABORADA POR CONAIF</t>
  </si>
  <si>
    <t>ESPACIO A CUMPLIMENTAR ACORDE AL ANEXO IV DEL REGLAMENTO UE 573/2024</t>
  </si>
  <si>
    <t>PRECARGA DEL EQUIPO</t>
  </si>
  <si>
    <t>CARGA IN SITU DE LA INSTALACIÓN</t>
  </si>
  <si>
    <t>INSTRUCCIONES DE MANEJO</t>
  </si>
  <si>
    <t>HOJA DE DATOS</t>
  </si>
  <si>
    <t>LAS CELDAS CON FONDO AZUL SE MANEJAN MEDIANTE EL USO DE LISTAS DESPLEGABLE</t>
  </si>
  <si>
    <t>LAS CELDAS CON FONDO VERDE ESTÁN FORMULADAS Y SÓLO MUESTRAN VALORES O TEXTO</t>
  </si>
  <si>
    <t>LAS CELDAS EN TONO OCRE Y TEXTO EN BLANCO SON NECESARIAS PARA INTRODUCIR LOS DATOS</t>
  </si>
  <si>
    <t>HOJA "ETIQUETA_BETA"</t>
  </si>
  <si>
    <t>HOJA "ETIQUETA_Manual"</t>
  </si>
  <si>
    <t>Su funcionamiento es idéntico la hoja beta pero la cumplimentación de los datos a partir de la fila 36 debe hacerse a mano conforme a los preceptos del Reglamento UE 573/2024 y su reglamento de ejecución UE 2174/2024</t>
  </si>
  <si>
    <t>Su función únicamente es obtener una plantilla rellena de los datos de equipos que contienen gases fluorados. Es posible que haya algún fallo o incruguencia, en ese caso, se debe notificar a la asociación para que contacte con CONAIF y pueda solventar la misma.</t>
  </si>
  <si>
    <t>LA HOJA SE ENVÍA NO INICIALIZADA, PARA ELLO DEBÉIS IR COMPLETANDO LAS SELECCIONES DE LAS LISTAS DESPLEGABLES. EL VALOR ACTUAL DE LAS CELDAS CON LISTA DESPLEGABLE ES EL VALOR DE INICIALIZACIÓN.</t>
  </si>
  <si>
    <t>DD/MM/AAAA</t>
  </si>
  <si>
    <t>¿APLICACIONES ESPECIALES?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</si>
</sst>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 Narrow"/>
      <family val="2"/>
    </font>
    <font>
      <vertAlign val="superscript"/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b/>
      <sz val="9"/>
      <color rgb="FF333333"/>
      <name val="Arial Narrow"/>
      <family val="2"/>
    </font>
    <font>
      <b/>
      <vertAlign val="superscript"/>
      <sz val="9"/>
      <color rgb="FF333333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E7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/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/>
      <top/>
      <bottom style="medium">
        <color rgb="FFA0B0C0"/>
      </bottom>
      <diagonal/>
    </border>
    <border>
      <left/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/>
      <top style="medium">
        <color rgb="FFA0B0C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/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14" fontId="14" fillId="8" borderId="19" xfId="0" applyNumberFormat="1" applyFont="1" applyFill="1" applyBorder="1" applyAlignment="1">
      <alignment horizontal="center" vertical="center"/>
    </xf>
    <xf numFmtId="14" fontId="15" fillId="7" borderId="19" xfId="0" applyNumberFormat="1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0" xfId="1" applyAlignment="1">
      <alignment wrapText="1"/>
    </xf>
    <xf numFmtId="0" fontId="24" fillId="0" borderId="0" xfId="1"/>
    <xf numFmtId="0" fontId="24" fillId="0" borderId="0" xfId="1" applyAlignment="1">
      <alignment vertical="top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0" fontId="2" fillId="0" borderId="17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wrapText="1"/>
    </xf>
    <xf numFmtId="0" fontId="11" fillId="8" borderId="0" xfId="0" applyFont="1" applyFill="1"/>
    <xf numFmtId="0" fontId="12" fillId="9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1094509</xdr:colOff>
      <xdr:row>14</xdr:row>
      <xdr:rowOff>159329</xdr:rowOff>
    </xdr:from>
    <xdr:to>
      <xdr:col>3</xdr:col>
      <xdr:colOff>553894</xdr:colOff>
      <xdr:row>19</xdr:row>
      <xdr:rowOff>94386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E9DE3F7-8814-48BF-B065-10A256C38626}"/>
            </a:ext>
          </a:extLst>
        </xdr:cNvPr>
        <xdr:cNvGrpSpPr/>
      </xdr:nvGrpSpPr>
      <xdr:grpSpPr>
        <a:xfrm>
          <a:off x="3221182" y="2854038"/>
          <a:ext cx="706294" cy="863312"/>
          <a:chOff x="3092824" y="1716654"/>
          <a:chExt cx="779929" cy="1712346"/>
        </a:xfrm>
      </xdr:grpSpPr>
      <xdr:sp macro="" textlink="">
        <xdr:nvSpPr>
          <xdr:cNvPr id="3" name="Cilindro 2">
            <a:extLst>
              <a:ext uri="{FF2B5EF4-FFF2-40B4-BE49-F238E27FC236}">
                <a16:creationId xmlns:a16="http://schemas.microsoft.com/office/drawing/2014/main" id="{88539EAA-6F99-42FC-BC6A-984D74631954}"/>
              </a:ext>
            </a:extLst>
          </xdr:cNvPr>
          <xdr:cNvSpPr/>
        </xdr:nvSpPr>
        <xdr:spPr>
          <a:xfrm>
            <a:off x="3092824" y="1976718"/>
            <a:ext cx="779929" cy="1452282"/>
          </a:xfrm>
          <a:prstGeom prst="can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Disco magnético 3">
            <a:extLst>
              <a:ext uri="{FF2B5EF4-FFF2-40B4-BE49-F238E27FC236}">
                <a16:creationId xmlns:a16="http://schemas.microsoft.com/office/drawing/2014/main" id="{7D9E4B2A-7CE7-479E-BF4B-38B7E3B087F1}"/>
              </a:ext>
            </a:extLst>
          </xdr:cNvPr>
          <xdr:cNvSpPr/>
        </xdr:nvSpPr>
        <xdr:spPr>
          <a:xfrm>
            <a:off x="3289262" y="1716654"/>
            <a:ext cx="387047" cy="354317"/>
          </a:xfrm>
          <a:prstGeom prst="flowChartMagneticDisk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Cilindro 4">
            <a:extLst>
              <a:ext uri="{FF2B5EF4-FFF2-40B4-BE49-F238E27FC236}">
                <a16:creationId xmlns:a16="http://schemas.microsoft.com/office/drawing/2014/main" id="{D368DF02-41E8-422B-96FC-D989AAF02409}"/>
              </a:ext>
            </a:extLst>
          </xdr:cNvPr>
          <xdr:cNvSpPr/>
        </xdr:nvSpPr>
        <xdr:spPr>
          <a:xfrm>
            <a:off x="3459927" y="1794610"/>
            <a:ext cx="45719" cy="198407"/>
          </a:xfrm>
          <a:prstGeom prst="can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</xdr:col>
      <xdr:colOff>145473</xdr:colOff>
      <xdr:row>20</xdr:row>
      <xdr:rowOff>154133</xdr:rowOff>
    </xdr:from>
    <xdr:to>
      <xdr:col>4</xdr:col>
      <xdr:colOff>776143</xdr:colOff>
      <xdr:row>27</xdr:row>
      <xdr:rowOff>145763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3467C10-3863-4663-84B1-19A0EADC8B07}"/>
            </a:ext>
          </a:extLst>
        </xdr:cNvPr>
        <xdr:cNvGrpSpPr/>
      </xdr:nvGrpSpPr>
      <xdr:grpSpPr>
        <a:xfrm>
          <a:off x="2272146" y="3957206"/>
          <a:ext cx="2667288" cy="1314739"/>
          <a:chOff x="4368391" y="2037546"/>
          <a:chExt cx="5029200" cy="2888354"/>
        </a:xfrm>
      </xdr:grpSpPr>
      <xdr:sp macro="" textlink="">
        <xdr:nvSpPr>
          <xdr:cNvPr id="7" name="Cubo 6">
            <a:extLst>
              <a:ext uri="{FF2B5EF4-FFF2-40B4-BE49-F238E27FC236}">
                <a16:creationId xmlns:a16="http://schemas.microsoft.com/office/drawing/2014/main" id="{09DD58FD-0988-42AB-8433-E259174C1641}"/>
              </a:ext>
            </a:extLst>
          </xdr:cNvPr>
          <xdr:cNvSpPr/>
        </xdr:nvSpPr>
        <xdr:spPr>
          <a:xfrm>
            <a:off x="4368391" y="2037546"/>
            <a:ext cx="5029200" cy="2888354"/>
          </a:xfrm>
          <a:prstGeom prst="cube">
            <a:avLst>
              <a:gd name="adj" fmla="val 11150"/>
            </a:avLst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558F5C73-98FA-4331-8621-9E0A8ECC721B}"/>
              </a:ext>
            </a:extLst>
          </xdr:cNvPr>
          <xdr:cNvGrpSpPr/>
        </xdr:nvGrpSpPr>
        <xdr:grpSpPr>
          <a:xfrm>
            <a:off x="4716056" y="2741419"/>
            <a:ext cx="1981200" cy="1813959"/>
            <a:chOff x="6549046" y="2628254"/>
            <a:chExt cx="1981200" cy="1813959"/>
          </a:xfrm>
        </xdr:grpSpPr>
        <xdr:grpSp>
          <xdr:nvGrpSpPr>
            <xdr:cNvPr id="11" name="Grupo 10">
              <a:extLst>
                <a:ext uri="{FF2B5EF4-FFF2-40B4-BE49-F238E27FC236}">
                  <a16:creationId xmlns:a16="http://schemas.microsoft.com/office/drawing/2014/main" id="{C1D81C59-1F25-47D5-87ED-606D580D9023}"/>
                </a:ext>
              </a:extLst>
            </xdr:cNvPr>
            <xdr:cNvGrpSpPr/>
          </xdr:nvGrpSpPr>
          <xdr:grpSpPr>
            <a:xfrm>
              <a:off x="6549046" y="2628254"/>
              <a:ext cx="1981200" cy="1813959"/>
              <a:chOff x="6549046" y="2628254"/>
              <a:chExt cx="1981200" cy="1813959"/>
            </a:xfrm>
          </xdr:grpSpPr>
          <xdr:sp macro="" textlink="">
            <xdr:nvSpPr>
              <xdr:cNvPr id="38" name="Elipse 37">
                <a:extLst>
                  <a:ext uri="{FF2B5EF4-FFF2-40B4-BE49-F238E27FC236}">
                    <a16:creationId xmlns:a16="http://schemas.microsoft.com/office/drawing/2014/main" id="{1E5E2127-E873-48ED-8DDB-AE255E61C00B}"/>
                  </a:ext>
                </a:extLst>
              </xdr:cNvPr>
              <xdr:cNvSpPr/>
            </xdr:nvSpPr>
            <xdr:spPr>
              <a:xfrm>
                <a:off x="6549046" y="2628254"/>
                <a:ext cx="1981200" cy="1813959"/>
              </a:xfrm>
              <a:prstGeom prst="ellipse">
                <a:avLst/>
              </a:prstGeom>
              <a:solidFill>
                <a:sysClr val="window" lastClr="FFFFFF"/>
              </a:solidFill>
              <a:ln w="1270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9pPr>
              </a:lstStyle>
              <a:p>
                <a:pPr algn="ctr"/>
                <a:endParaRPr lang="es-ES"/>
              </a:p>
            </xdr:txBody>
          </xdr:sp>
          <xdr:grpSp>
            <xdr:nvGrpSpPr>
              <xdr:cNvPr id="39" name="Grupo 38">
                <a:extLst>
                  <a:ext uri="{FF2B5EF4-FFF2-40B4-BE49-F238E27FC236}">
                    <a16:creationId xmlns:a16="http://schemas.microsoft.com/office/drawing/2014/main" id="{B5352887-69D9-4437-AFF6-AE23E83787FD}"/>
                  </a:ext>
                </a:extLst>
              </xdr:cNvPr>
              <xdr:cNvGrpSpPr/>
            </xdr:nvGrpSpPr>
            <xdr:grpSpPr>
              <a:xfrm>
                <a:off x="6912221" y="2909449"/>
                <a:ext cx="1254850" cy="1251570"/>
                <a:chOff x="1305471" y="1277485"/>
                <a:chExt cx="1121041" cy="1121377"/>
              </a:xfrm>
              <a:solidFill>
                <a:sysClr val="window" lastClr="FFFFFF">
                  <a:lumMod val="75000"/>
                </a:sysClr>
              </a:solidFill>
            </xdr:grpSpPr>
            <xdr:sp macro="" textlink="">
              <xdr:nvSpPr>
                <xdr:cNvPr id="40" name="Acorde 77">
                  <a:extLst>
                    <a:ext uri="{FF2B5EF4-FFF2-40B4-BE49-F238E27FC236}">
                      <a16:creationId xmlns:a16="http://schemas.microsoft.com/office/drawing/2014/main" id="{171D770A-DA71-4253-AE4C-45A6415C873C}"/>
                    </a:ext>
                  </a:extLst>
                </xdr:cNvPr>
                <xdr:cNvSpPr/>
              </xdr:nvSpPr>
              <xdr:spPr>
                <a:xfrm rot="19700404">
                  <a:off x="1439529" y="1277485"/>
                  <a:ext cx="491428" cy="619200"/>
                </a:xfrm>
                <a:prstGeom prst="chord">
                  <a:avLst>
                    <a:gd name="adj1" fmla="val 518115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1" name="Acorde 78">
                  <a:extLst>
                    <a:ext uri="{FF2B5EF4-FFF2-40B4-BE49-F238E27FC236}">
                      <a16:creationId xmlns:a16="http://schemas.microsoft.com/office/drawing/2014/main" id="{2A51B28B-1FB1-4FEE-87C9-93A287925244}"/>
                    </a:ext>
                  </a:extLst>
                </xdr:cNvPr>
                <xdr:cNvSpPr/>
              </xdr:nvSpPr>
              <xdr:spPr>
                <a:xfrm rot="14392665">
                  <a:off x="1368471" y="1717165"/>
                  <a:ext cx="493200" cy="619200"/>
                </a:xfrm>
                <a:prstGeom prst="chord">
                  <a:avLst>
                    <a:gd name="adj1" fmla="val 5116852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2" name="Acorde 79">
                  <a:extLst>
                    <a:ext uri="{FF2B5EF4-FFF2-40B4-BE49-F238E27FC236}">
                      <a16:creationId xmlns:a16="http://schemas.microsoft.com/office/drawing/2014/main" id="{A3E466DE-1409-415E-AD1A-77ADF2E074E6}"/>
                    </a:ext>
                  </a:extLst>
                </xdr:cNvPr>
                <xdr:cNvSpPr/>
              </xdr:nvSpPr>
              <xdr:spPr>
                <a:xfrm rot="8654451">
                  <a:off x="1819969" y="1778664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3" name="Acorde 80">
                  <a:extLst>
                    <a:ext uri="{FF2B5EF4-FFF2-40B4-BE49-F238E27FC236}">
                      <a16:creationId xmlns:a16="http://schemas.microsoft.com/office/drawing/2014/main" id="{BB60A168-C59F-4F64-AD1F-A5BBDF76B8E8}"/>
                    </a:ext>
                  </a:extLst>
                </xdr:cNvPr>
                <xdr:cNvSpPr/>
              </xdr:nvSpPr>
              <xdr:spPr>
                <a:xfrm rot="3240897">
                  <a:off x="1869813" y="1334918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</xdr:grpSp>
        </xdr:grpSp>
        <xdr:cxnSp macro="">
          <xdr:nvCxnSpPr>
            <xdr:cNvPr id="12" name="Conector recto 11">
              <a:extLst>
                <a:ext uri="{FF2B5EF4-FFF2-40B4-BE49-F238E27FC236}">
                  <a16:creationId xmlns:a16="http://schemas.microsoft.com/office/drawing/2014/main" id="{03EA7070-6164-448E-AE26-8FF808496DDE}"/>
                </a:ext>
              </a:extLst>
            </xdr:cNvPr>
            <xdr:cNvCxnSpPr>
              <a:stCxn id="38" idx="1"/>
              <a:endCxn id="38" idx="3"/>
            </xdr:cNvCxnSpPr>
          </xdr:nvCxnSpPr>
          <xdr:spPr>
            <a:xfrm>
              <a:off x="683918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Conector recto 12">
              <a:extLst>
                <a:ext uri="{FF2B5EF4-FFF2-40B4-BE49-F238E27FC236}">
                  <a16:creationId xmlns:a16="http://schemas.microsoft.com/office/drawing/2014/main" id="{D60B00B9-8C44-425B-8B79-09F5D376897B}"/>
                </a:ext>
              </a:extLst>
            </xdr:cNvPr>
            <xdr:cNvCxnSpPr>
              <a:stCxn id="38" idx="0"/>
              <a:endCxn id="38" idx="4"/>
            </xdr:cNvCxnSpPr>
          </xdr:nvCxnSpPr>
          <xdr:spPr>
            <a:xfrm>
              <a:off x="7539646" y="2628254"/>
              <a:ext cx="0" cy="181395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Conector recto 13">
              <a:extLst>
                <a:ext uri="{FF2B5EF4-FFF2-40B4-BE49-F238E27FC236}">
                  <a16:creationId xmlns:a16="http://schemas.microsoft.com/office/drawing/2014/main" id="{45E45A77-FDE0-4CEB-B772-5CCE0138739B}"/>
                </a:ext>
              </a:extLst>
            </xdr:cNvPr>
            <xdr:cNvCxnSpPr>
              <a:stCxn id="38" idx="7"/>
              <a:endCxn id="38" idx="5"/>
            </xdr:cNvCxnSpPr>
          </xdr:nvCxnSpPr>
          <xdr:spPr>
            <a:xfrm>
              <a:off x="824010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Conector recto 14">
              <a:extLst>
                <a:ext uri="{FF2B5EF4-FFF2-40B4-BE49-F238E27FC236}">
                  <a16:creationId xmlns:a16="http://schemas.microsoft.com/office/drawing/2014/main" id="{BED1B196-B69B-4A0D-B391-C5F651A01932}"/>
                </a:ext>
              </a:extLst>
            </xdr:cNvPr>
            <xdr:cNvCxnSpPr>
              <a:stCxn id="38" idx="2"/>
              <a:endCxn id="38" idx="6"/>
            </xdr:cNvCxnSpPr>
          </xdr:nvCxnSpPr>
          <xdr:spPr>
            <a:xfrm>
              <a:off x="6549046" y="3535234"/>
              <a:ext cx="19812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Conector recto 15">
              <a:extLst>
                <a:ext uri="{FF2B5EF4-FFF2-40B4-BE49-F238E27FC236}">
                  <a16:creationId xmlns:a16="http://schemas.microsoft.com/office/drawing/2014/main" id="{F9477695-6EEF-4E21-99B6-96E13158699F}"/>
                </a:ext>
              </a:extLst>
            </xdr:cNvPr>
            <xdr:cNvCxnSpPr>
              <a:stCxn id="38" idx="3"/>
              <a:endCxn id="38" idx="5"/>
            </xdr:cNvCxnSpPr>
          </xdr:nvCxnSpPr>
          <xdr:spPr>
            <a:xfrm>
              <a:off x="6839186" y="4176565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Conector recto 16">
              <a:extLst>
                <a:ext uri="{FF2B5EF4-FFF2-40B4-BE49-F238E27FC236}">
                  <a16:creationId xmlns:a16="http://schemas.microsoft.com/office/drawing/2014/main" id="{B8C17966-2C4F-495C-8A25-B0BE36A26AB5}"/>
                </a:ext>
              </a:extLst>
            </xdr:cNvPr>
            <xdr:cNvCxnSpPr>
              <a:stCxn id="38" idx="1"/>
              <a:endCxn id="38" idx="7"/>
            </xdr:cNvCxnSpPr>
          </xdr:nvCxnSpPr>
          <xdr:spPr>
            <a:xfrm>
              <a:off x="6839186" y="2893902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>
              <a:extLst>
                <a:ext uri="{FF2B5EF4-FFF2-40B4-BE49-F238E27FC236}">
                  <a16:creationId xmlns:a16="http://schemas.microsoft.com/office/drawing/2014/main" id="{2BD2E4B6-FC13-4495-A3B6-50E11418C670}"/>
                </a:ext>
              </a:extLst>
            </xdr:cNvPr>
            <xdr:cNvCxnSpPr/>
          </xdr:nvCxnSpPr>
          <xdr:spPr>
            <a:xfrm>
              <a:off x="8351822" y="3010277"/>
              <a:ext cx="9053" cy="1016568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" name="Conector recto 18">
              <a:extLst>
                <a:ext uri="{FF2B5EF4-FFF2-40B4-BE49-F238E27FC236}">
                  <a16:creationId xmlns:a16="http://schemas.microsoft.com/office/drawing/2014/main" id="{253D6F92-838F-4BBD-B4E9-791336850C63}"/>
                </a:ext>
              </a:extLst>
            </xdr:cNvPr>
            <xdr:cNvCxnSpPr/>
          </xdr:nvCxnSpPr>
          <xdr:spPr>
            <a:xfrm flipH="1">
              <a:off x="8008672" y="2740132"/>
              <a:ext cx="5393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Conector recto 19">
              <a:extLst>
                <a:ext uri="{FF2B5EF4-FFF2-40B4-BE49-F238E27FC236}">
                  <a16:creationId xmlns:a16="http://schemas.microsoft.com/office/drawing/2014/main" id="{785AC045-0EFE-4480-8355-7038E61E6291}"/>
                </a:ext>
              </a:extLst>
            </xdr:cNvPr>
            <xdr:cNvCxnSpPr/>
          </xdr:nvCxnSpPr>
          <xdr:spPr>
            <a:xfrm flipH="1">
              <a:off x="7710874" y="2645363"/>
              <a:ext cx="482" cy="17934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Conector recto 20">
              <a:extLst>
                <a:ext uri="{FF2B5EF4-FFF2-40B4-BE49-F238E27FC236}">
                  <a16:creationId xmlns:a16="http://schemas.microsoft.com/office/drawing/2014/main" id="{2AB09AE4-EF4C-4560-86D5-1792D3FA5F06}"/>
                </a:ext>
              </a:extLst>
            </xdr:cNvPr>
            <xdr:cNvCxnSpPr/>
          </xdr:nvCxnSpPr>
          <xdr:spPr>
            <a:xfrm>
              <a:off x="7620750" y="2635096"/>
              <a:ext cx="1553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Conector recto 21">
              <a:extLst>
                <a:ext uri="{FF2B5EF4-FFF2-40B4-BE49-F238E27FC236}">
                  <a16:creationId xmlns:a16="http://schemas.microsoft.com/office/drawing/2014/main" id="{CA3EF663-34FE-4534-A494-42C19D9C8C5D}"/>
                </a:ext>
              </a:extLst>
            </xdr:cNvPr>
            <xdr:cNvCxnSpPr/>
          </xdr:nvCxnSpPr>
          <xdr:spPr>
            <a:xfrm flipH="1">
              <a:off x="7309928" y="2663791"/>
              <a:ext cx="9207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3" name="Conector recto 22">
              <a:extLst>
                <a:ext uri="{FF2B5EF4-FFF2-40B4-BE49-F238E27FC236}">
                  <a16:creationId xmlns:a16="http://schemas.microsoft.com/office/drawing/2014/main" id="{C549F2A7-94D5-4F90-8520-1E227389F753}"/>
                </a:ext>
              </a:extLst>
            </xdr:cNvPr>
            <xdr:cNvCxnSpPr/>
          </xdr:nvCxnSpPr>
          <xdr:spPr>
            <a:xfrm flipH="1">
              <a:off x="7192463" y="2697173"/>
              <a:ext cx="9205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4" name="Conector recto 23">
              <a:extLst>
                <a:ext uri="{FF2B5EF4-FFF2-40B4-BE49-F238E27FC236}">
                  <a16:creationId xmlns:a16="http://schemas.microsoft.com/office/drawing/2014/main" id="{EF0840C8-1340-45D6-8264-349872520C2A}"/>
                </a:ext>
              </a:extLst>
            </xdr:cNvPr>
            <xdr:cNvCxnSpPr/>
          </xdr:nvCxnSpPr>
          <xdr:spPr>
            <a:xfrm flipH="1">
              <a:off x="7066655" y="2740132"/>
              <a:ext cx="12274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" name="Conector recto 24">
              <a:extLst>
                <a:ext uri="{FF2B5EF4-FFF2-40B4-BE49-F238E27FC236}">
                  <a16:creationId xmlns:a16="http://schemas.microsoft.com/office/drawing/2014/main" id="{FFE877E7-522B-4DD5-9F2F-214EEAF1453B}"/>
                </a:ext>
              </a:extLst>
            </xdr:cNvPr>
            <xdr:cNvCxnSpPr/>
          </xdr:nvCxnSpPr>
          <xdr:spPr>
            <a:xfrm flipH="1">
              <a:off x="6937882" y="2798275"/>
              <a:ext cx="18342" cy="14588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Conector recto 25">
              <a:extLst>
                <a:ext uri="{FF2B5EF4-FFF2-40B4-BE49-F238E27FC236}">
                  <a16:creationId xmlns:a16="http://schemas.microsoft.com/office/drawing/2014/main" id="{3B196337-9A85-4EE1-B93B-05FEF5735659}"/>
                </a:ext>
              </a:extLst>
            </xdr:cNvPr>
            <xdr:cNvCxnSpPr/>
          </xdr:nvCxnSpPr>
          <xdr:spPr>
            <a:xfrm flipH="1">
              <a:off x="6735780" y="3010277"/>
              <a:ext cx="9013" cy="10637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Conector recto 26">
              <a:extLst>
                <a:ext uri="{FF2B5EF4-FFF2-40B4-BE49-F238E27FC236}">
                  <a16:creationId xmlns:a16="http://schemas.microsoft.com/office/drawing/2014/main" id="{4B88F79F-AF68-4A96-89FA-0F77F013F1AC}"/>
                </a:ext>
              </a:extLst>
            </xdr:cNvPr>
            <xdr:cNvCxnSpPr/>
          </xdr:nvCxnSpPr>
          <xdr:spPr>
            <a:xfrm flipH="1">
              <a:off x="7418809" y="2641941"/>
              <a:ext cx="1200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" name="Conector recto 27">
              <a:extLst>
                <a:ext uri="{FF2B5EF4-FFF2-40B4-BE49-F238E27FC236}">
                  <a16:creationId xmlns:a16="http://schemas.microsoft.com/office/drawing/2014/main" id="{F768C728-A67C-4EA4-9F9C-91FF8C37951E}"/>
                </a:ext>
              </a:extLst>
            </xdr:cNvPr>
            <xdr:cNvCxnSpPr/>
          </xdr:nvCxnSpPr>
          <xdr:spPr>
            <a:xfrm>
              <a:off x="7819958" y="2663791"/>
              <a:ext cx="0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Conector recto 28">
              <a:extLst>
                <a:ext uri="{FF2B5EF4-FFF2-40B4-BE49-F238E27FC236}">
                  <a16:creationId xmlns:a16="http://schemas.microsoft.com/office/drawing/2014/main" id="{543ADFEF-243D-47E0-AD9D-E86CBD2E1EDD}"/>
                </a:ext>
              </a:extLst>
            </xdr:cNvPr>
            <xdr:cNvCxnSpPr/>
          </xdr:nvCxnSpPr>
          <xdr:spPr>
            <a:xfrm flipH="1">
              <a:off x="7912443" y="2697173"/>
              <a:ext cx="1106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Conector recto 29">
              <a:extLst>
                <a:ext uri="{FF2B5EF4-FFF2-40B4-BE49-F238E27FC236}">
                  <a16:creationId xmlns:a16="http://schemas.microsoft.com/office/drawing/2014/main" id="{72F96D54-7305-4560-A897-C8E0C2761403}"/>
                </a:ext>
              </a:extLst>
            </xdr:cNvPr>
            <xdr:cNvCxnSpPr/>
          </xdr:nvCxnSpPr>
          <xdr:spPr>
            <a:xfrm>
              <a:off x="8111747" y="2803070"/>
              <a:ext cx="1983" cy="145401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" name="Conector recto 30">
              <a:extLst>
                <a:ext uri="{FF2B5EF4-FFF2-40B4-BE49-F238E27FC236}">
                  <a16:creationId xmlns:a16="http://schemas.microsoft.com/office/drawing/2014/main" id="{E4328FDA-E367-47A9-87D9-199676C4526B}"/>
                </a:ext>
              </a:extLst>
            </xdr:cNvPr>
            <xdr:cNvCxnSpPr/>
          </xdr:nvCxnSpPr>
          <xdr:spPr>
            <a:xfrm>
              <a:off x="8436507" y="3159997"/>
              <a:ext cx="4527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" name="Conector recto 31">
              <a:extLst>
                <a:ext uri="{FF2B5EF4-FFF2-40B4-BE49-F238E27FC236}">
                  <a16:creationId xmlns:a16="http://schemas.microsoft.com/office/drawing/2014/main" id="{93067BA5-F627-4A51-8BD1-87D1AE3397E5}"/>
                </a:ext>
              </a:extLst>
            </xdr:cNvPr>
            <xdr:cNvCxnSpPr/>
          </xdr:nvCxnSpPr>
          <xdr:spPr>
            <a:xfrm flipH="1">
              <a:off x="6643295" y="3159997"/>
              <a:ext cx="1250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Conector recto 32">
              <a:extLst>
                <a:ext uri="{FF2B5EF4-FFF2-40B4-BE49-F238E27FC236}">
                  <a16:creationId xmlns:a16="http://schemas.microsoft.com/office/drawing/2014/main" id="{44B1B788-42D8-4F0D-BB0E-625E94F566AA}"/>
                </a:ext>
              </a:extLst>
            </xdr:cNvPr>
            <xdr:cNvCxnSpPr/>
          </xdr:nvCxnSpPr>
          <xdr:spPr>
            <a:xfrm flipV="1">
              <a:off x="6956224" y="2798276"/>
              <a:ext cx="1155523" cy="386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Conector recto 33">
              <a:extLst>
                <a:ext uri="{FF2B5EF4-FFF2-40B4-BE49-F238E27FC236}">
                  <a16:creationId xmlns:a16="http://schemas.microsoft.com/office/drawing/2014/main" id="{87972C36-431F-431F-AA16-D2D1A42163A4}"/>
                </a:ext>
              </a:extLst>
            </xdr:cNvPr>
            <xdr:cNvCxnSpPr/>
          </xdr:nvCxnSpPr>
          <xdr:spPr>
            <a:xfrm flipV="1">
              <a:off x="6667010" y="3097665"/>
              <a:ext cx="1737492" cy="159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5" name="Conector recto 34">
              <a:extLst>
                <a:ext uri="{FF2B5EF4-FFF2-40B4-BE49-F238E27FC236}">
                  <a16:creationId xmlns:a16="http://schemas.microsoft.com/office/drawing/2014/main" id="{84EF3480-B718-4018-B572-6995AB83AEBD}"/>
                </a:ext>
              </a:extLst>
            </xdr:cNvPr>
            <xdr:cNvCxnSpPr/>
          </xdr:nvCxnSpPr>
          <xdr:spPr>
            <a:xfrm>
              <a:off x="6583027" y="3337601"/>
              <a:ext cx="1933639" cy="469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6" name="Conector recto 35">
              <a:extLst>
                <a:ext uri="{FF2B5EF4-FFF2-40B4-BE49-F238E27FC236}">
                  <a16:creationId xmlns:a16="http://schemas.microsoft.com/office/drawing/2014/main" id="{6AACAC76-BE57-4F39-9382-C1B73078FC8E}"/>
                </a:ext>
              </a:extLst>
            </xdr:cNvPr>
            <xdr:cNvCxnSpPr/>
          </xdr:nvCxnSpPr>
          <xdr:spPr>
            <a:xfrm>
              <a:off x="6583027" y="3798671"/>
              <a:ext cx="1910460" cy="87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" name="Conector recto 36">
              <a:extLst>
                <a:ext uri="{FF2B5EF4-FFF2-40B4-BE49-F238E27FC236}">
                  <a16:creationId xmlns:a16="http://schemas.microsoft.com/office/drawing/2014/main" id="{8FC431AB-25F9-4273-805E-17B2C4E5BA0B}"/>
                </a:ext>
              </a:extLst>
            </xdr:cNvPr>
            <xdr:cNvCxnSpPr/>
          </xdr:nvCxnSpPr>
          <xdr:spPr>
            <a:xfrm>
              <a:off x="6667010" y="3983395"/>
              <a:ext cx="1737492" cy="148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9" name="Cilindro 8">
            <a:extLst>
              <a:ext uri="{FF2B5EF4-FFF2-40B4-BE49-F238E27FC236}">
                <a16:creationId xmlns:a16="http://schemas.microsoft.com/office/drawing/2014/main" id="{C2EE0E1D-484D-4466-AF8B-147CDCDED65A}"/>
              </a:ext>
            </a:extLst>
          </xdr:cNvPr>
          <xdr:cNvSpPr/>
        </xdr:nvSpPr>
        <xdr:spPr>
          <a:xfrm rot="5400000">
            <a:off x="9165265" y="3920541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0" name="Cilindro 9">
            <a:extLst>
              <a:ext uri="{FF2B5EF4-FFF2-40B4-BE49-F238E27FC236}">
                <a16:creationId xmlns:a16="http://schemas.microsoft.com/office/drawing/2014/main" id="{E71F299C-F021-42B0-90E3-F5000FB02277}"/>
              </a:ext>
            </a:extLst>
          </xdr:cNvPr>
          <xdr:cNvSpPr/>
        </xdr:nvSpPr>
        <xdr:spPr>
          <a:xfrm rot="5400000">
            <a:off x="9165265" y="4229606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9</xdr:col>
      <xdr:colOff>147229</xdr:colOff>
      <xdr:row>1</xdr:row>
      <xdr:rowOff>18707</xdr:rowOff>
    </xdr:from>
    <xdr:to>
      <xdr:col>10</xdr:col>
      <xdr:colOff>626977</xdr:colOff>
      <xdr:row>4</xdr:row>
      <xdr:rowOff>203207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97F3643C-B05A-48D9-AE11-49BC534EE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6709" y="209207"/>
          <a:ext cx="1272228" cy="733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29731</xdr:colOff>
      <xdr:row>14</xdr:row>
      <xdr:rowOff>159472</xdr:rowOff>
    </xdr:from>
    <xdr:to>
      <xdr:col>3</xdr:col>
      <xdr:colOff>692440</xdr:colOff>
      <xdr:row>19</xdr:row>
      <xdr:rowOff>66676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D5920EE-B184-45CA-B0CE-8C6CF08766C1}"/>
            </a:ext>
          </a:extLst>
        </xdr:cNvPr>
        <xdr:cNvGrpSpPr/>
      </xdr:nvGrpSpPr>
      <xdr:grpSpPr>
        <a:xfrm>
          <a:off x="2918404" y="2854181"/>
          <a:ext cx="662709" cy="835459"/>
          <a:chOff x="3092824" y="1716654"/>
          <a:chExt cx="779929" cy="1712346"/>
        </a:xfrm>
      </xdr:grpSpPr>
      <xdr:sp macro="" textlink="">
        <xdr:nvSpPr>
          <xdr:cNvPr id="3" name="Cilindro 2">
            <a:extLst>
              <a:ext uri="{FF2B5EF4-FFF2-40B4-BE49-F238E27FC236}">
                <a16:creationId xmlns:a16="http://schemas.microsoft.com/office/drawing/2014/main" id="{9E65ECF3-ED82-44F7-8279-02D20C22E8F7}"/>
              </a:ext>
            </a:extLst>
          </xdr:cNvPr>
          <xdr:cNvSpPr/>
        </xdr:nvSpPr>
        <xdr:spPr>
          <a:xfrm>
            <a:off x="3092824" y="1976718"/>
            <a:ext cx="779929" cy="1452282"/>
          </a:xfrm>
          <a:prstGeom prst="can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Disco magnético 3">
            <a:extLst>
              <a:ext uri="{FF2B5EF4-FFF2-40B4-BE49-F238E27FC236}">
                <a16:creationId xmlns:a16="http://schemas.microsoft.com/office/drawing/2014/main" id="{865DAC59-8C64-4EF1-8EEE-9B06FB82C7DE}"/>
              </a:ext>
            </a:extLst>
          </xdr:cNvPr>
          <xdr:cNvSpPr/>
        </xdr:nvSpPr>
        <xdr:spPr>
          <a:xfrm>
            <a:off x="3289262" y="1716654"/>
            <a:ext cx="387047" cy="354317"/>
          </a:xfrm>
          <a:prstGeom prst="flowChartMagneticDisk">
            <a:avLst/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Cilindro 4">
            <a:extLst>
              <a:ext uri="{FF2B5EF4-FFF2-40B4-BE49-F238E27FC236}">
                <a16:creationId xmlns:a16="http://schemas.microsoft.com/office/drawing/2014/main" id="{52F8AB33-5108-4FEA-BBCE-91B997428F0B}"/>
              </a:ext>
            </a:extLst>
          </xdr:cNvPr>
          <xdr:cNvSpPr/>
        </xdr:nvSpPr>
        <xdr:spPr>
          <a:xfrm>
            <a:off x="3459927" y="1794610"/>
            <a:ext cx="45719" cy="198407"/>
          </a:xfrm>
          <a:prstGeom prst="can">
            <a:avLst/>
          </a:prstGeom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</xdr:col>
      <xdr:colOff>145473</xdr:colOff>
      <xdr:row>20</xdr:row>
      <xdr:rowOff>154133</xdr:rowOff>
    </xdr:from>
    <xdr:to>
      <xdr:col>4</xdr:col>
      <xdr:colOff>776143</xdr:colOff>
      <xdr:row>27</xdr:row>
      <xdr:rowOff>145763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6B2281F-3C63-4091-B2C3-C11987A7F744}"/>
            </a:ext>
          </a:extLst>
        </xdr:cNvPr>
        <xdr:cNvGrpSpPr/>
      </xdr:nvGrpSpPr>
      <xdr:grpSpPr>
        <a:xfrm>
          <a:off x="2244437" y="3957206"/>
          <a:ext cx="2210088" cy="1314739"/>
          <a:chOff x="4368391" y="2037546"/>
          <a:chExt cx="5029200" cy="2888354"/>
        </a:xfrm>
      </xdr:grpSpPr>
      <xdr:sp macro="" textlink="">
        <xdr:nvSpPr>
          <xdr:cNvPr id="7" name="Cubo 6">
            <a:extLst>
              <a:ext uri="{FF2B5EF4-FFF2-40B4-BE49-F238E27FC236}">
                <a16:creationId xmlns:a16="http://schemas.microsoft.com/office/drawing/2014/main" id="{55779B35-5A0F-49E8-BE27-74F8A51704C7}"/>
              </a:ext>
            </a:extLst>
          </xdr:cNvPr>
          <xdr:cNvSpPr/>
        </xdr:nvSpPr>
        <xdr:spPr>
          <a:xfrm>
            <a:off x="4368391" y="2037546"/>
            <a:ext cx="5029200" cy="2888354"/>
          </a:xfrm>
          <a:prstGeom prst="cube">
            <a:avLst>
              <a:gd name="adj" fmla="val 11150"/>
            </a:avLst>
          </a:prstGeom>
          <a:solidFill>
            <a:sysClr val="window" lastClr="FFFFFF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CD06DE3E-23BB-4CBB-9B0E-381837F8F592}"/>
              </a:ext>
            </a:extLst>
          </xdr:cNvPr>
          <xdr:cNvGrpSpPr/>
        </xdr:nvGrpSpPr>
        <xdr:grpSpPr>
          <a:xfrm>
            <a:off x="4716056" y="2741419"/>
            <a:ext cx="1981200" cy="1813959"/>
            <a:chOff x="6549046" y="2628254"/>
            <a:chExt cx="1981200" cy="1813959"/>
          </a:xfrm>
        </xdr:grpSpPr>
        <xdr:grpSp>
          <xdr:nvGrpSpPr>
            <xdr:cNvPr id="11" name="Grupo 10">
              <a:extLst>
                <a:ext uri="{FF2B5EF4-FFF2-40B4-BE49-F238E27FC236}">
                  <a16:creationId xmlns:a16="http://schemas.microsoft.com/office/drawing/2014/main" id="{4EBC79F2-04DD-42E8-BF82-3B7D8D245336}"/>
                </a:ext>
              </a:extLst>
            </xdr:cNvPr>
            <xdr:cNvGrpSpPr/>
          </xdr:nvGrpSpPr>
          <xdr:grpSpPr>
            <a:xfrm>
              <a:off x="6549046" y="2628254"/>
              <a:ext cx="1981200" cy="1813959"/>
              <a:chOff x="6549046" y="2628254"/>
              <a:chExt cx="1981200" cy="1813959"/>
            </a:xfrm>
          </xdr:grpSpPr>
          <xdr:sp macro="" textlink="">
            <xdr:nvSpPr>
              <xdr:cNvPr id="38" name="Elipse 37">
                <a:extLst>
                  <a:ext uri="{FF2B5EF4-FFF2-40B4-BE49-F238E27FC236}">
                    <a16:creationId xmlns:a16="http://schemas.microsoft.com/office/drawing/2014/main" id="{916F620C-E464-4146-93BE-853529E17E94}"/>
                  </a:ext>
                </a:extLst>
              </xdr:cNvPr>
              <xdr:cNvSpPr/>
            </xdr:nvSpPr>
            <xdr:spPr>
              <a:xfrm>
                <a:off x="6549046" y="2628254"/>
                <a:ext cx="1981200" cy="1813959"/>
              </a:xfrm>
              <a:prstGeom prst="ellipse">
                <a:avLst/>
              </a:prstGeom>
              <a:solidFill>
                <a:sysClr val="window" lastClr="FFFFFF"/>
              </a:solidFill>
              <a:ln w="12700" cap="flat" cmpd="sng" algn="ctr">
                <a:solidFill>
                  <a:sysClr val="windowText" lastClr="000000"/>
                </a:solidFill>
                <a:prstDash val="solid"/>
                <a:miter lim="800000"/>
              </a:ln>
              <a:effectLst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ysClr val="windowText" lastClr="000000"/>
                    </a:solidFill>
                    <a:latin typeface="Calibri" panose="020F0502020204030204"/>
                    <a:ea typeface=""/>
                    <a:cs typeface=""/>
                  </a:defRPr>
                </a:lvl9pPr>
              </a:lstStyle>
              <a:p>
                <a:pPr algn="ctr"/>
                <a:endParaRPr lang="es-ES"/>
              </a:p>
            </xdr:txBody>
          </xdr:sp>
          <xdr:grpSp>
            <xdr:nvGrpSpPr>
              <xdr:cNvPr id="39" name="Grupo 38">
                <a:extLst>
                  <a:ext uri="{FF2B5EF4-FFF2-40B4-BE49-F238E27FC236}">
                    <a16:creationId xmlns:a16="http://schemas.microsoft.com/office/drawing/2014/main" id="{D37DAEB5-2E71-4AB7-8469-221B9DBF8EDC}"/>
                  </a:ext>
                </a:extLst>
              </xdr:cNvPr>
              <xdr:cNvGrpSpPr/>
            </xdr:nvGrpSpPr>
            <xdr:grpSpPr>
              <a:xfrm>
                <a:off x="6912221" y="2909449"/>
                <a:ext cx="1254850" cy="1251570"/>
                <a:chOff x="1305471" y="1277485"/>
                <a:chExt cx="1121041" cy="1121377"/>
              </a:xfrm>
              <a:solidFill>
                <a:sysClr val="window" lastClr="FFFFFF">
                  <a:lumMod val="75000"/>
                </a:sysClr>
              </a:solidFill>
            </xdr:grpSpPr>
            <xdr:sp macro="" textlink="">
              <xdr:nvSpPr>
                <xdr:cNvPr id="40" name="Acorde 77">
                  <a:extLst>
                    <a:ext uri="{FF2B5EF4-FFF2-40B4-BE49-F238E27FC236}">
                      <a16:creationId xmlns:a16="http://schemas.microsoft.com/office/drawing/2014/main" id="{E0AC5322-CC6C-4273-92CF-1B1749958F64}"/>
                    </a:ext>
                  </a:extLst>
                </xdr:cNvPr>
                <xdr:cNvSpPr/>
              </xdr:nvSpPr>
              <xdr:spPr>
                <a:xfrm rot="19700404">
                  <a:off x="1439529" y="1277485"/>
                  <a:ext cx="491428" cy="619200"/>
                </a:xfrm>
                <a:prstGeom prst="chord">
                  <a:avLst>
                    <a:gd name="adj1" fmla="val 518115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1" name="Acorde 78">
                  <a:extLst>
                    <a:ext uri="{FF2B5EF4-FFF2-40B4-BE49-F238E27FC236}">
                      <a16:creationId xmlns:a16="http://schemas.microsoft.com/office/drawing/2014/main" id="{3CCA9E9F-9B66-40BB-9AEA-44BE4ADC5779}"/>
                    </a:ext>
                  </a:extLst>
                </xdr:cNvPr>
                <xdr:cNvSpPr/>
              </xdr:nvSpPr>
              <xdr:spPr>
                <a:xfrm rot="14392665">
                  <a:off x="1368471" y="1717165"/>
                  <a:ext cx="493200" cy="619200"/>
                </a:xfrm>
                <a:prstGeom prst="chord">
                  <a:avLst>
                    <a:gd name="adj1" fmla="val 5116852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2" name="Acorde 79">
                  <a:extLst>
                    <a:ext uri="{FF2B5EF4-FFF2-40B4-BE49-F238E27FC236}">
                      <a16:creationId xmlns:a16="http://schemas.microsoft.com/office/drawing/2014/main" id="{9733212D-961B-437C-B1ED-C15201B0B146}"/>
                    </a:ext>
                  </a:extLst>
                </xdr:cNvPr>
                <xdr:cNvSpPr/>
              </xdr:nvSpPr>
              <xdr:spPr>
                <a:xfrm rot="8654451">
                  <a:off x="1819969" y="1778664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  <xdr:sp macro="" textlink="">
              <xdr:nvSpPr>
                <xdr:cNvPr id="43" name="Acorde 80">
                  <a:extLst>
                    <a:ext uri="{FF2B5EF4-FFF2-40B4-BE49-F238E27FC236}">
                      <a16:creationId xmlns:a16="http://schemas.microsoft.com/office/drawing/2014/main" id="{640F0DBB-7F7C-4463-8B55-A67DE374DF6E}"/>
                    </a:ext>
                  </a:extLst>
                </xdr:cNvPr>
                <xdr:cNvSpPr/>
              </xdr:nvSpPr>
              <xdr:spPr>
                <a:xfrm rot="3240897">
                  <a:off x="1869813" y="1334918"/>
                  <a:ext cx="493200" cy="620198"/>
                </a:xfrm>
                <a:prstGeom prst="chord">
                  <a:avLst>
                    <a:gd name="adj1" fmla="val 5270935"/>
                    <a:gd name="adj2" fmla="val 16200000"/>
                  </a:avLst>
                </a:prstGeom>
                <a:grpFill/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es-ES"/>
                  </a:defPPr>
                  <a:lvl1pPr marL="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ysClr val="window" lastClr="FFFFFF"/>
                      </a:solidFill>
                      <a:latin typeface="Calibri" panose="020F0502020204030204"/>
                      <a:ea typeface=""/>
                      <a:cs typeface=""/>
                    </a:defRPr>
                  </a:lvl9pPr>
                </a:lstStyle>
                <a:p>
                  <a:pPr algn="ctr"/>
                  <a:endParaRPr lang="es-ES"/>
                </a:p>
              </xdr:txBody>
            </xdr:sp>
          </xdr:grpSp>
        </xdr:grpSp>
        <xdr:cxnSp macro="">
          <xdr:nvCxnSpPr>
            <xdr:cNvPr id="12" name="Conector recto 11">
              <a:extLst>
                <a:ext uri="{FF2B5EF4-FFF2-40B4-BE49-F238E27FC236}">
                  <a16:creationId xmlns:a16="http://schemas.microsoft.com/office/drawing/2014/main" id="{B84159FA-7E92-4ABF-8EBE-3BCE3D69AD15}"/>
                </a:ext>
              </a:extLst>
            </xdr:cNvPr>
            <xdr:cNvCxnSpPr>
              <a:stCxn id="38" idx="1"/>
              <a:endCxn id="38" idx="3"/>
            </xdr:cNvCxnSpPr>
          </xdr:nvCxnSpPr>
          <xdr:spPr>
            <a:xfrm>
              <a:off x="683918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Conector recto 12">
              <a:extLst>
                <a:ext uri="{FF2B5EF4-FFF2-40B4-BE49-F238E27FC236}">
                  <a16:creationId xmlns:a16="http://schemas.microsoft.com/office/drawing/2014/main" id="{6FC983D9-E848-4FEB-9FEE-1BD6150AB1EC}"/>
                </a:ext>
              </a:extLst>
            </xdr:cNvPr>
            <xdr:cNvCxnSpPr>
              <a:stCxn id="38" idx="0"/>
              <a:endCxn id="38" idx="4"/>
            </xdr:cNvCxnSpPr>
          </xdr:nvCxnSpPr>
          <xdr:spPr>
            <a:xfrm>
              <a:off x="7539646" y="2628254"/>
              <a:ext cx="0" cy="1813959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Conector recto 13">
              <a:extLst>
                <a:ext uri="{FF2B5EF4-FFF2-40B4-BE49-F238E27FC236}">
                  <a16:creationId xmlns:a16="http://schemas.microsoft.com/office/drawing/2014/main" id="{3F29143C-84B9-4412-B7C7-1F50C298E9CB}"/>
                </a:ext>
              </a:extLst>
            </xdr:cNvPr>
            <xdr:cNvCxnSpPr>
              <a:stCxn id="38" idx="7"/>
              <a:endCxn id="38" idx="5"/>
            </xdr:cNvCxnSpPr>
          </xdr:nvCxnSpPr>
          <xdr:spPr>
            <a:xfrm>
              <a:off x="8240106" y="2893902"/>
              <a:ext cx="0" cy="128266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Conector recto 14">
              <a:extLst>
                <a:ext uri="{FF2B5EF4-FFF2-40B4-BE49-F238E27FC236}">
                  <a16:creationId xmlns:a16="http://schemas.microsoft.com/office/drawing/2014/main" id="{8BAF3EEA-9B44-4F18-B464-A5195293373A}"/>
                </a:ext>
              </a:extLst>
            </xdr:cNvPr>
            <xdr:cNvCxnSpPr>
              <a:stCxn id="38" idx="2"/>
              <a:endCxn id="38" idx="6"/>
            </xdr:cNvCxnSpPr>
          </xdr:nvCxnSpPr>
          <xdr:spPr>
            <a:xfrm>
              <a:off x="6549046" y="3535234"/>
              <a:ext cx="198120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Conector recto 15">
              <a:extLst>
                <a:ext uri="{FF2B5EF4-FFF2-40B4-BE49-F238E27FC236}">
                  <a16:creationId xmlns:a16="http://schemas.microsoft.com/office/drawing/2014/main" id="{15E6D1C6-A421-4CD5-B540-B557D0BEDA2E}"/>
                </a:ext>
              </a:extLst>
            </xdr:cNvPr>
            <xdr:cNvCxnSpPr>
              <a:stCxn id="38" idx="3"/>
              <a:endCxn id="38" idx="5"/>
            </xdr:cNvCxnSpPr>
          </xdr:nvCxnSpPr>
          <xdr:spPr>
            <a:xfrm>
              <a:off x="6839186" y="4176565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Conector recto 16">
              <a:extLst>
                <a:ext uri="{FF2B5EF4-FFF2-40B4-BE49-F238E27FC236}">
                  <a16:creationId xmlns:a16="http://schemas.microsoft.com/office/drawing/2014/main" id="{F9AC6CC1-20F8-4DB7-A022-31780B9BBF1A}"/>
                </a:ext>
              </a:extLst>
            </xdr:cNvPr>
            <xdr:cNvCxnSpPr>
              <a:stCxn id="38" idx="1"/>
              <a:endCxn id="38" idx="7"/>
            </xdr:cNvCxnSpPr>
          </xdr:nvCxnSpPr>
          <xdr:spPr>
            <a:xfrm>
              <a:off x="6839186" y="2893902"/>
              <a:ext cx="1400920" cy="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>
              <a:extLst>
                <a:ext uri="{FF2B5EF4-FFF2-40B4-BE49-F238E27FC236}">
                  <a16:creationId xmlns:a16="http://schemas.microsoft.com/office/drawing/2014/main" id="{1E587768-455B-4B6E-B879-067ECE1D63A4}"/>
                </a:ext>
              </a:extLst>
            </xdr:cNvPr>
            <xdr:cNvCxnSpPr/>
          </xdr:nvCxnSpPr>
          <xdr:spPr>
            <a:xfrm>
              <a:off x="8351822" y="3010277"/>
              <a:ext cx="9053" cy="1016568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" name="Conector recto 18">
              <a:extLst>
                <a:ext uri="{FF2B5EF4-FFF2-40B4-BE49-F238E27FC236}">
                  <a16:creationId xmlns:a16="http://schemas.microsoft.com/office/drawing/2014/main" id="{616BD133-240C-40A3-8E71-F47586AD3C98}"/>
                </a:ext>
              </a:extLst>
            </xdr:cNvPr>
            <xdr:cNvCxnSpPr/>
          </xdr:nvCxnSpPr>
          <xdr:spPr>
            <a:xfrm flipH="1">
              <a:off x="8008672" y="2740132"/>
              <a:ext cx="5393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Conector recto 19">
              <a:extLst>
                <a:ext uri="{FF2B5EF4-FFF2-40B4-BE49-F238E27FC236}">
                  <a16:creationId xmlns:a16="http://schemas.microsoft.com/office/drawing/2014/main" id="{54AA5576-2438-450F-AB65-6A29899C5884}"/>
                </a:ext>
              </a:extLst>
            </xdr:cNvPr>
            <xdr:cNvCxnSpPr/>
          </xdr:nvCxnSpPr>
          <xdr:spPr>
            <a:xfrm flipH="1">
              <a:off x="7710874" y="2645363"/>
              <a:ext cx="482" cy="17934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" name="Conector recto 20">
              <a:extLst>
                <a:ext uri="{FF2B5EF4-FFF2-40B4-BE49-F238E27FC236}">
                  <a16:creationId xmlns:a16="http://schemas.microsoft.com/office/drawing/2014/main" id="{A0B28770-1B5E-445E-9F6C-B0D4FCD630E8}"/>
                </a:ext>
              </a:extLst>
            </xdr:cNvPr>
            <xdr:cNvCxnSpPr/>
          </xdr:nvCxnSpPr>
          <xdr:spPr>
            <a:xfrm>
              <a:off x="7620750" y="2635096"/>
              <a:ext cx="1553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Conector recto 21">
              <a:extLst>
                <a:ext uri="{FF2B5EF4-FFF2-40B4-BE49-F238E27FC236}">
                  <a16:creationId xmlns:a16="http://schemas.microsoft.com/office/drawing/2014/main" id="{A50D9EE2-E6C4-4FF4-98D6-76E9FC9B2664}"/>
                </a:ext>
              </a:extLst>
            </xdr:cNvPr>
            <xdr:cNvCxnSpPr/>
          </xdr:nvCxnSpPr>
          <xdr:spPr>
            <a:xfrm flipH="1">
              <a:off x="7309928" y="2663791"/>
              <a:ext cx="9207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3" name="Conector recto 22">
              <a:extLst>
                <a:ext uri="{FF2B5EF4-FFF2-40B4-BE49-F238E27FC236}">
                  <a16:creationId xmlns:a16="http://schemas.microsoft.com/office/drawing/2014/main" id="{DC8C6FBC-BF73-46AA-9ECE-ABB11463F25D}"/>
                </a:ext>
              </a:extLst>
            </xdr:cNvPr>
            <xdr:cNvCxnSpPr/>
          </xdr:nvCxnSpPr>
          <xdr:spPr>
            <a:xfrm flipH="1">
              <a:off x="7192463" y="2697173"/>
              <a:ext cx="9205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4" name="Conector recto 23">
              <a:extLst>
                <a:ext uri="{FF2B5EF4-FFF2-40B4-BE49-F238E27FC236}">
                  <a16:creationId xmlns:a16="http://schemas.microsoft.com/office/drawing/2014/main" id="{2C79A4A1-4029-4FF7-99A5-EBED0051BA46}"/>
                </a:ext>
              </a:extLst>
            </xdr:cNvPr>
            <xdr:cNvCxnSpPr/>
          </xdr:nvCxnSpPr>
          <xdr:spPr>
            <a:xfrm flipH="1">
              <a:off x="7066655" y="2740132"/>
              <a:ext cx="12274" cy="15955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" name="Conector recto 24">
              <a:extLst>
                <a:ext uri="{FF2B5EF4-FFF2-40B4-BE49-F238E27FC236}">
                  <a16:creationId xmlns:a16="http://schemas.microsoft.com/office/drawing/2014/main" id="{522A8720-23FC-4666-B25D-C9898027A616}"/>
                </a:ext>
              </a:extLst>
            </xdr:cNvPr>
            <xdr:cNvCxnSpPr/>
          </xdr:nvCxnSpPr>
          <xdr:spPr>
            <a:xfrm flipH="1">
              <a:off x="6937882" y="2798275"/>
              <a:ext cx="18342" cy="14588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6" name="Conector recto 25">
              <a:extLst>
                <a:ext uri="{FF2B5EF4-FFF2-40B4-BE49-F238E27FC236}">
                  <a16:creationId xmlns:a16="http://schemas.microsoft.com/office/drawing/2014/main" id="{D4256DF7-FF27-4C52-9C0E-23731C9EB4BF}"/>
                </a:ext>
              </a:extLst>
            </xdr:cNvPr>
            <xdr:cNvCxnSpPr/>
          </xdr:nvCxnSpPr>
          <xdr:spPr>
            <a:xfrm flipH="1">
              <a:off x="6735780" y="3010277"/>
              <a:ext cx="9013" cy="10637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7" name="Conector recto 26">
              <a:extLst>
                <a:ext uri="{FF2B5EF4-FFF2-40B4-BE49-F238E27FC236}">
                  <a16:creationId xmlns:a16="http://schemas.microsoft.com/office/drawing/2014/main" id="{1A7B3BF2-6C5D-42AE-B481-268AF3436258}"/>
                </a:ext>
              </a:extLst>
            </xdr:cNvPr>
            <xdr:cNvCxnSpPr/>
          </xdr:nvCxnSpPr>
          <xdr:spPr>
            <a:xfrm flipH="1">
              <a:off x="7418809" y="2641941"/>
              <a:ext cx="1200" cy="180027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" name="Conector recto 27">
              <a:extLst>
                <a:ext uri="{FF2B5EF4-FFF2-40B4-BE49-F238E27FC236}">
                  <a16:creationId xmlns:a16="http://schemas.microsoft.com/office/drawing/2014/main" id="{0F7880DC-17BC-4C41-9589-4343E62D4F64}"/>
                </a:ext>
              </a:extLst>
            </xdr:cNvPr>
            <xdr:cNvCxnSpPr/>
          </xdr:nvCxnSpPr>
          <xdr:spPr>
            <a:xfrm>
              <a:off x="7819958" y="2663791"/>
              <a:ext cx="0" cy="174288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Conector recto 28">
              <a:extLst>
                <a:ext uri="{FF2B5EF4-FFF2-40B4-BE49-F238E27FC236}">
                  <a16:creationId xmlns:a16="http://schemas.microsoft.com/office/drawing/2014/main" id="{66E8353B-0A15-43CB-A444-9F631528F29C}"/>
                </a:ext>
              </a:extLst>
            </xdr:cNvPr>
            <xdr:cNvCxnSpPr/>
          </xdr:nvCxnSpPr>
          <xdr:spPr>
            <a:xfrm flipH="1">
              <a:off x="7912443" y="2697173"/>
              <a:ext cx="1106" cy="168765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Conector recto 29">
              <a:extLst>
                <a:ext uri="{FF2B5EF4-FFF2-40B4-BE49-F238E27FC236}">
                  <a16:creationId xmlns:a16="http://schemas.microsoft.com/office/drawing/2014/main" id="{FB2128EF-9A38-4105-AD45-078C09519C68}"/>
                </a:ext>
              </a:extLst>
            </xdr:cNvPr>
            <xdr:cNvCxnSpPr/>
          </xdr:nvCxnSpPr>
          <xdr:spPr>
            <a:xfrm>
              <a:off x="8111747" y="2803070"/>
              <a:ext cx="1983" cy="1454010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" name="Conector recto 30">
              <a:extLst>
                <a:ext uri="{FF2B5EF4-FFF2-40B4-BE49-F238E27FC236}">
                  <a16:creationId xmlns:a16="http://schemas.microsoft.com/office/drawing/2014/main" id="{F0EFFAE7-04ED-45B9-8FED-92B7A193696D}"/>
                </a:ext>
              </a:extLst>
            </xdr:cNvPr>
            <xdr:cNvCxnSpPr/>
          </xdr:nvCxnSpPr>
          <xdr:spPr>
            <a:xfrm>
              <a:off x="8436507" y="3159997"/>
              <a:ext cx="4527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2" name="Conector recto 31">
              <a:extLst>
                <a:ext uri="{FF2B5EF4-FFF2-40B4-BE49-F238E27FC236}">
                  <a16:creationId xmlns:a16="http://schemas.microsoft.com/office/drawing/2014/main" id="{668DBD85-D6D4-4ECE-A7E4-862372244036}"/>
                </a:ext>
              </a:extLst>
            </xdr:cNvPr>
            <xdr:cNvCxnSpPr/>
          </xdr:nvCxnSpPr>
          <xdr:spPr>
            <a:xfrm flipH="1">
              <a:off x="6643295" y="3159997"/>
              <a:ext cx="1250" cy="76762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" name="Conector recto 32">
              <a:extLst>
                <a:ext uri="{FF2B5EF4-FFF2-40B4-BE49-F238E27FC236}">
                  <a16:creationId xmlns:a16="http://schemas.microsoft.com/office/drawing/2014/main" id="{273013F0-7C5B-437F-9B1B-35C02B3B44B6}"/>
                </a:ext>
              </a:extLst>
            </xdr:cNvPr>
            <xdr:cNvCxnSpPr/>
          </xdr:nvCxnSpPr>
          <xdr:spPr>
            <a:xfrm flipV="1">
              <a:off x="6956224" y="2798276"/>
              <a:ext cx="1155523" cy="386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4" name="Conector recto 33">
              <a:extLst>
                <a:ext uri="{FF2B5EF4-FFF2-40B4-BE49-F238E27FC236}">
                  <a16:creationId xmlns:a16="http://schemas.microsoft.com/office/drawing/2014/main" id="{F294CE81-9564-481E-B5A6-5C4A8A6EE7FD}"/>
                </a:ext>
              </a:extLst>
            </xdr:cNvPr>
            <xdr:cNvCxnSpPr/>
          </xdr:nvCxnSpPr>
          <xdr:spPr>
            <a:xfrm flipV="1">
              <a:off x="6667010" y="3097665"/>
              <a:ext cx="1737492" cy="159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5" name="Conector recto 34">
              <a:extLst>
                <a:ext uri="{FF2B5EF4-FFF2-40B4-BE49-F238E27FC236}">
                  <a16:creationId xmlns:a16="http://schemas.microsoft.com/office/drawing/2014/main" id="{4A4FA641-469A-41AC-BBB8-440AAA776CD7}"/>
                </a:ext>
              </a:extLst>
            </xdr:cNvPr>
            <xdr:cNvCxnSpPr/>
          </xdr:nvCxnSpPr>
          <xdr:spPr>
            <a:xfrm>
              <a:off x="6583027" y="3337601"/>
              <a:ext cx="1933639" cy="4691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6" name="Conector recto 35">
              <a:extLst>
                <a:ext uri="{FF2B5EF4-FFF2-40B4-BE49-F238E27FC236}">
                  <a16:creationId xmlns:a16="http://schemas.microsoft.com/office/drawing/2014/main" id="{2B6ECBE6-8E4B-4CD7-B6EE-44093E3C6337}"/>
                </a:ext>
              </a:extLst>
            </xdr:cNvPr>
            <xdr:cNvCxnSpPr/>
          </xdr:nvCxnSpPr>
          <xdr:spPr>
            <a:xfrm>
              <a:off x="6583027" y="3798671"/>
              <a:ext cx="1910460" cy="870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7" name="Conector recto 36">
              <a:extLst>
                <a:ext uri="{FF2B5EF4-FFF2-40B4-BE49-F238E27FC236}">
                  <a16:creationId xmlns:a16="http://schemas.microsoft.com/office/drawing/2014/main" id="{5BD0E24D-F569-48E0-9DBD-959A6C88E2A9}"/>
                </a:ext>
              </a:extLst>
            </xdr:cNvPr>
            <xdr:cNvCxnSpPr/>
          </xdr:nvCxnSpPr>
          <xdr:spPr>
            <a:xfrm>
              <a:off x="6667010" y="3983395"/>
              <a:ext cx="1737492" cy="148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9" name="Cilindro 8">
            <a:extLst>
              <a:ext uri="{FF2B5EF4-FFF2-40B4-BE49-F238E27FC236}">
                <a16:creationId xmlns:a16="http://schemas.microsoft.com/office/drawing/2014/main" id="{66F149B4-3726-47F1-AFBC-4AE681B9FDA5}"/>
              </a:ext>
            </a:extLst>
          </xdr:cNvPr>
          <xdr:cNvSpPr/>
        </xdr:nvSpPr>
        <xdr:spPr>
          <a:xfrm rot="5400000">
            <a:off x="9165265" y="3920541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10" name="Cilindro 9">
            <a:extLst>
              <a:ext uri="{FF2B5EF4-FFF2-40B4-BE49-F238E27FC236}">
                <a16:creationId xmlns:a16="http://schemas.microsoft.com/office/drawing/2014/main" id="{74F1B260-C630-4885-A497-BC0F394D1A16}"/>
              </a:ext>
            </a:extLst>
          </xdr:cNvPr>
          <xdr:cNvSpPr/>
        </xdr:nvSpPr>
        <xdr:spPr>
          <a:xfrm rot="5400000">
            <a:off x="9165265" y="4229606"/>
            <a:ext cx="170121" cy="120248"/>
          </a:xfrm>
          <a:prstGeom prst="can">
            <a:avLst/>
          </a:prstGeom>
          <a:solidFill>
            <a:sysClr val="windowText" lastClr="000000"/>
          </a:solidFill>
          <a:ln w="12700" cap="flat" cmpd="sng" algn="ctr">
            <a:solidFill>
              <a:sysClr val="windowText" lastClr="000000">
                <a:shade val="50000"/>
              </a:sysClr>
            </a:solidFill>
            <a:prstDash val="solid"/>
            <a:miter lim="800000"/>
          </a:ln>
          <a:effectLst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" lastClr="FFFFFF"/>
                </a:solidFill>
                <a:latin typeface="Calibri" panose="020F0502020204030204"/>
                <a:ea typeface=""/>
                <a:cs typeface="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9</xdr:col>
      <xdr:colOff>147229</xdr:colOff>
      <xdr:row>1</xdr:row>
      <xdr:rowOff>18707</xdr:rowOff>
    </xdr:from>
    <xdr:to>
      <xdr:col>10</xdr:col>
      <xdr:colOff>626977</xdr:colOff>
      <xdr:row>4</xdr:row>
      <xdr:rowOff>203207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81E69F44-A4CE-4D14-B9CF-9EB142876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6709" y="209207"/>
          <a:ext cx="1272228" cy="733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cnico\Desktop\ETIQUETAS(Recuperado%20autom&#225;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EJO DE LA HOJA"/>
      <sheetName val="MANEJO DE LA HOJA CONTROL"/>
      <sheetName val="Comprobador de calendario"/>
      <sheetName val="Control de fugas"/>
      <sheetName val="Hoja1"/>
      <sheetName val="Hoja3"/>
      <sheetName val="REFRIGERANTES"/>
      <sheetName val="EQUIPOS"/>
      <sheetName val="DATOS"/>
      <sheetName val="ETIQUE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Frigoríficos y congeladores domésticos que contiene HFC con un PCA &gt; 150</v>
          </cell>
          <cell r="D5">
            <v>42005</v>
          </cell>
          <cell r="E5" t="str">
            <v>HFC</v>
          </cell>
          <cell r="F5">
            <v>150</v>
          </cell>
          <cell r="G5" t="str">
            <v xml:space="preserve"> </v>
          </cell>
          <cell r="H5" t="str">
            <v>No</v>
          </cell>
        </row>
        <row r="6">
          <cell r="C6" t="str">
            <v>Frigoríficos y congeladores domésticos que contiene GFEI, salvo que sean necesarios para cumplir los requisitos de seguridad en la zona de operación</v>
          </cell>
          <cell r="D6">
            <v>46023</v>
          </cell>
          <cell r="E6" t="str">
            <v>GFEI</v>
          </cell>
          <cell r="F6">
            <v>0</v>
          </cell>
          <cell r="G6">
            <v>150</v>
          </cell>
          <cell r="H6" t="str">
            <v>Condiciones de seguridad</v>
          </cell>
        </row>
        <row r="7">
          <cell r="C7" t="str">
            <v>Frigoríficos y congealdores comerciales  con HFC con una PCA &gt;= 2500</v>
          </cell>
          <cell r="D7">
            <v>43831</v>
          </cell>
          <cell r="E7" t="str">
            <v>HFC</v>
          </cell>
          <cell r="F7">
            <v>2500</v>
          </cell>
          <cell r="G7" t="str">
            <v xml:space="preserve"> </v>
          </cell>
          <cell r="H7" t="str">
            <v>No</v>
          </cell>
        </row>
        <row r="8">
          <cell r="C8" t="str">
            <v>Frigoríficos y congealdores comerciales  con HFC con una PCA &gt;= 150</v>
          </cell>
          <cell r="D8">
            <v>44562</v>
          </cell>
          <cell r="E8" t="str">
            <v>HFC</v>
          </cell>
          <cell r="F8">
            <v>150</v>
          </cell>
          <cell r="G8" t="str">
            <v xml:space="preserve"> </v>
          </cell>
          <cell r="H8" t="str">
            <v>No</v>
          </cell>
        </row>
        <row r="9">
          <cell r="C9" t="str">
            <v>Frigoríficos y congealdores comerciales  con GFEI con una PCA &gt;= 150</v>
          </cell>
          <cell r="D9">
            <v>45658</v>
          </cell>
          <cell r="E9" t="str">
            <v>GFEI</v>
          </cell>
          <cell r="F9">
            <v>150</v>
          </cell>
          <cell r="G9" t="str">
            <v xml:space="preserve"> </v>
          </cell>
          <cell r="H9" t="str">
            <v>No</v>
          </cell>
        </row>
        <row r="10">
          <cell r="C10" t="str">
            <v>Aparatos de refrigeración autónomos, salvo enfriadores, que contienen GFEI con PCA &gt;=150, salvo que sea necesario para cumplir las condiciones de seguridad en la zona de operación</v>
          </cell>
          <cell r="D10">
            <v>45658</v>
          </cell>
          <cell r="E10" t="str">
            <v>GFEI</v>
          </cell>
          <cell r="F10">
            <v>150</v>
          </cell>
          <cell r="G10" t="str">
            <v xml:space="preserve"> </v>
          </cell>
          <cell r="H10" t="str">
            <v>Condiciones de seguridad</v>
          </cell>
        </row>
        <row r="11">
          <cell r="C11" t="str">
            <v>Aparatos de refrigeración no contemplados anteriormente que contienen HFC con PCA &gt;=2500 y que no sean de aplicaciones co T &lt; -50 ºC</v>
          </cell>
          <cell r="D11">
            <v>43831</v>
          </cell>
          <cell r="E11" t="str">
            <v>HFC</v>
          </cell>
          <cell r="F11">
            <v>2500</v>
          </cell>
          <cell r="G11" t="str">
            <v xml:space="preserve"> </v>
          </cell>
          <cell r="H11" t="str">
            <v>Aplicaciones especiales</v>
          </cell>
        </row>
        <row r="12">
          <cell r="C12" t="str">
            <v>Aparatos de refrigeración no contemplados anteriormente que contienen GFEI con PCA &gt;=2500 y que no sean de aplicaciones con T &lt; -50 ºc</v>
          </cell>
          <cell r="D12">
            <v>45658</v>
          </cell>
          <cell r="E12" t="str">
            <v>GFEI</v>
          </cell>
          <cell r="F12">
            <v>2500</v>
          </cell>
          <cell r="G12" t="str">
            <v xml:space="preserve"> </v>
          </cell>
          <cell r="H12" t="str">
            <v>Aplicaciones especiales</v>
          </cell>
        </row>
        <row r="13">
          <cell r="C13" t="str">
            <v>Aparatos de refrigeración no contemplados anteriormente que contienen GFEI con PCA &gt;=150 salvo que se requiera para cumplir condiciones de seguridad</v>
          </cell>
          <cell r="D13">
            <v>47484</v>
          </cell>
          <cell r="E13" t="str">
            <v>GFEI</v>
          </cell>
          <cell r="F13">
            <v>150</v>
          </cell>
          <cell r="G13" t="str">
            <v xml:space="preserve"> </v>
          </cell>
          <cell r="H13" t="str">
            <v>Condiciones de seguridad</v>
          </cell>
        </row>
        <row r="14">
          <cell r="C14" t="str">
            <v xml:space="preserve">Sistemas de refrigeración centralizada multicompresor compactos con P&gt;=40 kW, con HFC/PFC con PCA &gt;= 150. </v>
          </cell>
          <cell r="D14">
            <v>44562</v>
          </cell>
          <cell r="E14" t="str">
            <v>PFC/HFC</v>
          </cell>
          <cell r="F14">
            <v>2500</v>
          </cell>
          <cell r="G14" t="str">
            <v xml:space="preserve"> </v>
          </cell>
          <cell r="H14" t="str">
            <v>No</v>
          </cell>
        </row>
        <row r="15">
          <cell r="C15" t="str">
            <v>Sistemas de refrigeración centralizada multicompresor compactos con P&gt;=40 kW, funcionando en cascada con un circuito primario con GFEI con PCA &lt; 1500</v>
          </cell>
          <cell r="D15">
            <v>44562</v>
          </cell>
          <cell r="E15" t="str">
            <v>PFC/HFC</v>
          </cell>
          <cell r="F15">
            <v>1500</v>
          </cell>
          <cell r="G15" t="str">
            <v xml:space="preserve"> </v>
          </cell>
          <cell r="H15" t="str">
            <v>No</v>
          </cell>
        </row>
        <row r="16">
          <cell r="C16" t="str">
            <v>Enfriadoras con HFC con PCA &gt;=2500, salvo aparatos para aplicaciones con T &lt; -50 ºC</v>
          </cell>
          <cell r="D16">
            <v>43831</v>
          </cell>
          <cell r="E16" t="str">
            <v>HFC</v>
          </cell>
          <cell r="F16">
            <v>2500</v>
          </cell>
          <cell r="G16" t="str">
            <v xml:space="preserve"> </v>
          </cell>
          <cell r="H16" t="str">
            <v>Aplicaciones especiales</v>
          </cell>
        </row>
        <row r="17">
          <cell r="C17" t="str">
            <v>Enfriadoras con P &lt; 12 Kw que contienen GFEI con PCA &gt;= 150,  salvo si se requiere para cumplir las condiciones de seguridad</v>
          </cell>
          <cell r="D17">
            <v>46388</v>
          </cell>
          <cell r="E17" t="str">
            <v>GFEI</v>
          </cell>
          <cell r="F17">
            <v>150</v>
          </cell>
          <cell r="G17" t="str">
            <v xml:space="preserve"> </v>
          </cell>
          <cell r="H17" t="str">
            <v>Condiciones de seguridad</v>
          </cell>
        </row>
        <row r="18">
          <cell r="C18" t="str">
            <v>Enfriadoras con P &lt; 12 Kw que continene GFEI, salvo que se requiera para cumplir las condicones de seguridad</v>
          </cell>
          <cell r="D18">
            <v>48214</v>
          </cell>
          <cell r="E18" t="str">
            <v>GFEI</v>
          </cell>
          <cell r="F18">
            <v>0</v>
          </cell>
          <cell r="G18">
            <v>150</v>
          </cell>
          <cell r="H18" t="str">
            <v>Condiciones de seguridad</v>
          </cell>
        </row>
        <row r="19">
          <cell r="C19" t="str">
            <v>Enfriadoras con PCA &gt; 12 Kw que contienen GFEI con PCA &gt;= 750, salvo que se requiera para cumplir las condiciones de seguridad</v>
          </cell>
          <cell r="D19">
            <v>46388</v>
          </cell>
          <cell r="E19" t="str">
            <v>GFEI</v>
          </cell>
          <cell r="F19">
            <v>750</v>
          </cell>
          <cell r="G19" t="str">
            <v xml:space="preserve"> </v>
          </cell>
          <cell r="H19" t="str">
            <v>Condiciones de seguridad</v>
          </cell>
        </row>
        <row r="20">
          <cell r="C20" t="str">
            <v>A/C y bombas de calor monobloque portátiles que se pueden cambiar de ubicación que contengan HFC con PCA &gt;= 150</v>
          </cell>
          <cell r="D20">
            <v>43831</v>
          </cell>
          <cell r="E20" t="str">
            <v>HFC</v>
          </cell>
          <cell r="F20">
            <v>150</v>
          </cell>
          <cell r="G20" t="str">
            <v xml:space="preserve"> </v>
          </cell>
          <cell r="H20" t="str">
            <v>No</v>
          </cell>
        </row>
        <row r="21">
          <cell r="C21" t="str">
            <v>A/C y bombas de calor monobloque, con P &lt; 12 kw y que contienen GFEI con PCA &gt;= 150, salvo que sea necesario para cumplir las condiciones de seguridad. El PCA podrá aumentarse a 750 si sirve para cumplir las condiciones de seguridad.</v>
          </cell>
          <cell r="D21">
            <v>46388</v>
          </cell>
          <cell r="E21" t="str">
            <v>GFEI</v>
          </cell>
          <cell r="F21">
            <v>150</v>
          </cell>
          <cell r="G21">
            <v>750</v>
          </cell>
          <cell r="H21" t="str">
            <v>Condiciones de seguridad</v>
          </cell>
        </row>
        <row r="22">
          <cell r="C22" t="str">
            <v>A/C y bombas de calor monobloque con P &lt; 12 KW, que contienen GFEI, salvo que sea necesario para cumplir las condiciones de operación. El PCA podrá aumentarse a 750.</v>
          </cell>
          <cell r="D22">
            <v>48214</v>
          </cell>
          <cell r="E22" t="str">
            <v>GFEI</v>
          </cell>
          <cell r="F22">
            <v>0</v>
          </cell>
          <cell r="G22">
            <v>750</v>
          </cell>
          <cell r="H22" t="str">
            <v>Condiciones de seguridad</v>
          </cell>
        </row>
        <row r="23">
          <cell r="C23" t="str">
            <v>A/C y bombas de calor monobloque con 12=&lt; P &lt; 50 que continen GFEI con PCA &gt;= 150 salvo que sea necesario para cumplir las condicones de operación que entonces el límite será de 750</v>
          </cell>
          <cell r="D23">
            <v>46388</v>
          </cell>
          <cell r="E23" t="str">
            <v>GFEI</v>
          </cell>
          <cell r="F23">
            <v>150</v>
          </cell>
          <cell r="G23">
            <v>750</v>
          </cell>
          <cell r="H23" t="str">
            <v>Condiciones de seguridad</v>
          </cell>
        </row>
        <row r="24">
          <cell r="C24" t="str">
            <v>Otros A/C y bombas de calor monobloque que contengan GFEI, con PCA &gt; 150. Se podrá usar gases con PCA &lt;750 si se necesita por condiciones de seguridad.</v>
          </cell>
          <cell r="D24">
            <v>47484</v>
          </cell>
          <cell r="E24" t="str">
            <v>GFEI</v>
          </cell>
          <cell r="F24">
            <v>150</v>
          </cell>
          <cell r="G24">
            <v>750</v>
          </cell>
          <cell r="H24" t="str">
            <v>Condiciones de seguridad</v>
          </cell>
        </row>
        <row r="25">
          <cell r="C25" t="str">
            <v>A/C y bombas de calor partidos, sistemas de &lt; 3kg con GFEI del anexo I (HFC, PFC), con un PCA &gt;750</v>
          </cell>
          <cell r="D25">
            <v>45658</v>
          </cell>
          <cell r="E25" t="str">
            <v>PFC/HFC</v>
          </cell>
          <cell r="F25">
            <v>750</v>
          </cell>
          <cell r="G25" t="str">
            <v xml:space="preserve"> </v>
          </cell>
          <cell r="H25" t="str">
            <v>No</v>
          </cell>
        </row>
        <row r="26">
          <cell r="C26" t="str">
            <v>A/C y bombas de calor partidos aire-agua de hasta 12 kW que contengan GFEI, con PCA &gt; 150 salvo que se requiera para cumplir los requisitos de seguridad.</v>
          </cell>
          <cell r="D26">
            <v>46388</v>
          </cell>
          <cell r="E26" t="str">
            <v>GFEI</v>
          </cell>
          <cell r="F26">
            <v>150</v>
          </cell>
          <cell r="G26" t="str">
            <v xml:space="preserve"> </v>
          </cell>
          <cell r="H26" t="str">
            <v>Condiciones de seguridad</v>
          </cell>
        </row>
        <row r="27">
          <cell r="C27" t="str">
            <v>A/C y bombas de calor partidos aire-aire de hasta 12 kW  con GFEI con PCA &gt; 150 salvo para cumplir  las condiciones de seguridad.</v>
          </cell>
          <cell r="D27">
            <v>47119</v>
          </cell>
          <cell r="E27" t="str">
            <v>GFEI</v>
          </cell>
          <cell r="F27">
            <v>150</v>
          </cell>
          <cell r="G27" t="str">
            <v xml:space="preserve"> </v>
          </cell>
          <cell r="H27" t="str">
            <v>Condiciones de seguridad</v>
          </cell>
        </row>
        <row r="28">
          <cell r="C28" t="str">
            <v>A/C y bombas de calor partidos de potencia hasta 12 kW con  GFEI salvo que sea necesario para cumplir las condiciones de seguridad de la zona de operación</v>
          </cell>
          <cell r="D28">
            <v>49310</v>
          </cell>
          <cell r="E28" t="str">
            <v>GFEI</v>
          </cell>
          <cell r="F28">
            <v>0</v>
          </cell>
          <cell r="G28">
            <v>150</v>
          </cell>
          <cell r="H28" t="str">
            <v>Condiciones de seguridad</v>
          </cell>
        </row>
        <row r="29">
          <cell r="C29" t="str">
            <v>A/C y bombas de calor partidos de potencia superior a 12 kW con GFEI con PCA &gt; 750 salvo que se requieraa para cumplir las condicones de seguridad de la zona de operación</v>
          </cell>
          <cell r="D29">
            <v>47119</v>
          </cell>
          <cell r="E29" t="str">
            <v>GFEI</v>
          </cell>
          <cell r="F29">
            <v>750</v>
          </cell>
          <cell r="G29" t="str">
            <v xml:space="preserve"> </v>
          </cell>
          <cell r="H29" t="str">
            <v>Condiciones de seguridad</v>
          </cell>
        </row>
        <row r="30">
          <cell r="C30" t="str">
            <v>A/C y bombas de calor partidos con potencia &gt; 12 kW con GFEI &gt; 150 salvo si se requiere para cumplir los requisitos de la zona de operación</v>
          </cell>
          <cell r="D30">
            <v>48580</v>
          </cell>
          <cell r="E30" t="str">
            <v>GFEI</v>
          </cell>
          <cell r="F30">
            <v>150</v>
          </cell>
          <cell r="G30" t="str">
            <v xml:space="preserve"> </v>
          </cell>
          <cell r="H30" t="str">
            <v>Condiciones de seguridad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e.es/doue/2024/573/L00001-00067.pdf" TargetMode="External"/><Relationship Id="rId13" Type="http://schemas.openxmlformats.org/officeDocument/2006/relationships/hyperlink" Target="https://www.boe.es/doue/2024/573/L00001-00067.pdf" TargetMode="External"/><Relationship Id="rId18" Type="http://schemas.openxmlformats.org/officeDocument/2006/relationships/hyperlink" Target="https://www.boe.es/doue/2024/573/L00001-00067.pdf" TargetMode="External"/><Relationship Id="rId26" Type="http://schemas.openxmlformats.org/officeDocument/2006/relationships/hyperlink" Target="https://www.boe.es/doue/2024/573/L00001-00067.pdf" TargetMode="External"/><Relationship Id="rId3" Type="http://schemas.openxmlformats.org/officeDocument/2006/relationships/hyperlink" Target="https://www.boe.es/doue/2024/573/L00001-00067.pdf" TargetMode="External"/><Relationship Id="rId21" Type="http://schemas.openxmlformats.org/officeDocument/2006/relationships/hyperlink" Target="https://www.boe.es/doue/2024/573/L00001-00067.pdf" TargetMode="External"/><Relationship Id="rId7" Type="http://schemas.openxmlformats.org/officeDocument/2006/relationships/hyperlink" Target="https://www.boe.es/doue/2024/573/L00001-00067.pdf" TargetMode="External"/><Relationship Id="rId12" Type="http://schemas.openxmlformats.org/officeDocument/2006/relationships/hyperlink" Target="https://www.boe.es/doue/2024/573/L00001-00067.pdf" TargetMode="External"/><Relationship Id="rId17" Type="http://schemas.openxmlformats.org/officeDocument/2006/relationships/hyperlink" Target="https://www.boe.es/doue/2024/573/L00001-00067.pdf" TargetMode="External"/><Relationship Id="rId25" Type="http://schemas.openxmlformats.org/officeDocument/2006/relationships/hyperlink" Target="https://www.boe.es/doue/2024/573/L00001-00067.pdf" TargetMode="External"/><Relationship Id="rId2" Type="http://schemas.openxmlformats.org/officeDocument/2006/relationships/hyperlink" Target="https://www.boe.es/doue/2024/573/L00001-00067.pdf" TargetMode="External"/><Relationship Id="rId16" Type="http://schemas.openxmlformats.org/officeDocument/2006/relationships/hyperlink" Target="https://www.boe.es/doue/2024/573/L00001-00067.pdf" TargetMode="External"/><Relationship Id="rId20" Type="http://schemas.openxmlformats.org/officeDocument/2006/relationships/hyperlink" Target="https://www.boe.es/doue/2024/573/L00001-00067.pdf" TargetMode="External"/><Relationship Id="rId1" Type="http://schemas.openxmlformats.org/officeDocument/2006/relationships/hyperlink" Target="https://www.boe.es/doue/2024/573/L00001-00067.pdf" TargetMode="External"/><Relationship Id="rId6" Type="http://schemas.openxmlformats.org/officeDocument/2006/relationships/hyperlink" Target="https://www.boe.es/doue/2024/573/L00001-00067.pdf" TargetMode="External"/><Relationship Id="rId11" Type="http://schemas.openxmlformats.org/officeDocument/2006/relationships/hyperlink" Target="https://www.boe.es/doue/2024/573/L00001-00067.pdf" TargetMode="External"/><Relationship Id="rId24" Type="http://schemas.openxmlformats.org/officeDocument/2006/relationships/hyperlink" Target="https://www.boe.es/doue/2024/573/L00001-00067.pdf" TargetMode="External"/><Relationship Id="rId5" Type="http://schemas.openxmlformats.org/officeDocument/2006/relationships/hyperlink" Target="https://www.boe.es/doue/2024/573/L00001-00067.pdf" TargetMode="External"/><Relationship Id="rId15" Type="http://schemas.openxmlformats.org/officeDocument/2006/relationships/hyperlink" Target="https://www.boe.es/doue/2024/573/L00001-00067.pdf" TargetMode="External"/><Relationship Id="rId23" Type="http://schemas.openxmlformats.org/officeDocument/2006/relationships/hyperlink" Target="https://www.boe.es/doue/2024/573/L00001-00067.pdf" TargetMode="External"/><Relationship Id="rId10" Type="http://schemas.openxmlformats.org/officeDocument/2006/relationships/hyperlink" Target="https://www.boe.es/doue/2024/573/L00001-00067.pdf" TargetMode="External"/><Relationship Id="rId19" Type="http://schemas.openxmlformats.org/officeDocument/2006/relationships/hyperlink" Target="https://www.boe.es/doue/2024/573/L00001-00067.pdf" TargetMode="External"/><Relationship Id="rId4" Type="http://schemas.openxmlformats.org/officeDocument/2006/relationships/hyperlink" Target="https://www.boe.es/doue/2024/573/L00001-00067.pdf" TargetMode="External"/><Relationship Id="rId9" Type="http://schemas.openxmlformats.org/officeDocument/2006/relationships/hyperlink" Target="https://www.boe.es/doue/2024/573/L00001-00067.pdf" TargetMode="External"/><Relationship Id="rId14" Type="http://schemas.openxmlformats.org/officeDocument/2006/relationships/hyperlink" Target="https://www.boe.es/doue/2024/573/L00001-00067.pdf" TargetMode="External"/><Relationship Id="rId22" Type="http://schemas.openxmlformats.org/officeDocument/2006/relationships/hyperlink" Target="https://www.boe.es/doue/2024/573/L00001-0006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6DC8-ABE9-4E66-8BE5-A5D3CA367AA8}">
  <dimension ref="B2:M29"/>
  <sheetViews>
    <sheetView showGridLines="0" topLeftCell="A31" workbookViewId="0">
      <selection activeCell="B25" sqref="B25:K29"/>
    </sheetView>
  </sheetViews>
  <sheetFormatPr baseColWidth="10" defaultRowHeight="17.399999999999999" x14ac:dyDescent="0.3"/>
  <cols>
    <col min="1" max="16384" width="11.5546875" style="226"/>
  </cols>
  <sheetData>
    <row r="2" spans="2:13" ht="18" thickBot="1" x14ac:dyDescent="0.35"/>
    <row r="3" spans="2:13" x14ac:dyDescent="0.3">
      <c r="B3" s="89" t="s">
        <v>993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88"/>
    </row>
    <row r="4" spans="2:13" x14ac:dyDescent="0.3">
      <c r="B4" s="93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94"/>
    </row>
    <row r="5" spans="2:13" x14ac:dyDescent="0.3">
      <c r="B5" s="93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94"/>
    </row>
    <row r="6" spans="2:13" ht="18" thickBot="1" x14ac:dyDescent="0.35">
      <c r="B6" s="98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99"/>
    </row>
    <row r="8" spans="2:13" x14ac:dyDescent="0.3">
      <c r="B8" s="234" t="s">
        <v>994</v>
      </c>
      <c r="C8" s="234"/>
      <c r="D8" s="234"/>
      <c r="E8" s="234"/>
    </row>
    <row r="9" spans="2:13" x14ac:dyDescent="0.3">
      <c r="B9" s="234"/>
      <c r="C9" s="234"/>
      <c r="D9" s="234"/>
      <c r="E9" s="234"/>
    </row>
    <row r="10" spans="2:13" x14ac:dyDescent="0.3">
      <c r="B10" s="230"/>
      <c r="C10" s="227" t="s">
        <v>995</v>
      </c>
      <c r="D10" s="227"/>
      <c r="E10" s="227"/>
      <c r="F10" s="227"/>
      <c r="G10" s="227"/>
      <c r="H10" s="227"/>
      <c r="I10" s="227"/>
      <c r="J10" s="227"/>
      <c r="K10" s="227"/>
    </row>
    <row r="11" spans="2:13" x14ac:dyDescent="0.3">
      <c r="B11" s="230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2:13" x14ac:dyDescent="0.3">
      <c r="B12" s="229"/>
      <c r="C12" s="227" t="s">
        <v>996</v>
      </c>
      <c r="D12" s="227"/>
      <c r="E12" s="227"/>
      <c r="F12" s="227"/>
      <c r="G12" s="227"/>
      <c r="H12" s="227"/>
      <c r="I12" s="227"/>
      <c r="J12" s="227"/>
      <c r="K12" s="227"/>
    </row>
    <row r="13" spans="2:13" x14ac:dyDescent="0.3">
      <c r="B13" s="229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2:13" x14ac:dyDescent="0.3">
      <c r="B14" s="228"/>
      <c r="C14" s="227" t="s">
        <v>997</v>
      </c>
      <c r="D14" s="227"/>
      <c r="E14" s="227"/>
      <c r="F14" s="227"/>
      <c r="G14" s="227"/>
      <c r="H14" s="227"/>
      <c r="I14" s="227"/>
      <c r="J14" s="227"/>
      <c r="K14" s="227"/>
    </row>
    <row r="15" spans="2:13" x14ac:dyDescent="0.3">
      <c r="B15" s="228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2:13" x14ac:dyDescent="0.3">
      <c r="B16" s="234" t="s">
        <v>998</v>
      </c>
      <c r="C16" s="234"/>
      <c r="D16" s="234"/>
      <c r="E16" s="234"/>
    </row>
    <row r="17" spans="2:11" x14ac:dyDescent="0.3">
      <c r="B17" s="234"/>
      <c r="C17" s="234"/>
      <c r="D17" s="234"/>
      <c r="E17" s="234"/>
    </row>
    <row r="18" spans="2:11" ht="17.399999999999999" customHeight="1" x14ac:dyDescent="0.3">
      <c r="B18" s="231" t="s">
        <v>1001</v>
      </c>
      <c r="C18" s="231"/>
      <c r="D18" s="231"/>
      <c r="E18" s="231"/>
      <c r="F18" s="231"/>
      <c r="G18" s="231"/>
      <c r="H18" s="231"/>
      <c r="I18" s="231"/>
      <c r="J18" s="231"/>
      <c r="K18" s="231"/>
    </row>
    <row r="19" spans="2:11" ht="39" customHeight="1" x14ac:dyDescent="0.3">
      <c r="B19" s="231"/>
      <c r="C19" s="231"/>
      <c r="D19" s="231"/>
      <c r="E19" s="231"/>
      <c r="F19" s="231"/>
      <c r="G19" s="231"/>
      <c r="H19" s="231"/>
      <c r="I19" s="231"/>
      <c r="J19" s="231"/>
      <c r="K19" s="231"/>
    </row>
    <row r="20" spans="2:11" x14ac:dyDescent="0.3">
      <c r="B20" s="234" t="s">
        <v>999</v>
      </c>
      <c r="C20" s="234"/>
      <c r="D20" s="234"/>
      <c r="E20" s="234"/>
      <c r="F20" s="232"/>
      <c r="G20" s="232"/>
      <c r="H20" s="232"/>
      <c r="I20" s="232"/>
      <c r="J20" s="232"/>
    </row>
    <row r="21" spans="2:11" x14ac:dyDescent="0.3">
      <c r="B21" s="234"/>
      <c r="C21" s="234"/>
      <c r="D21" s="234"/>
      <c r="E21" s="234"/>
      <c r="F21" s="232"/>
      <c r="G21" s="232"/>
      <c r="H21" s="232"/>
      <c r="I21" s="232"/>
      <c r="J21" s="232"/>
    </row>
    <row r="22" spans="2:11" ht="17.399999999999999" customHeight="1" x14ac:dyDescent="0.3">
      <c r="B22" s="227" t="s">
        <v>1000</v>
      </c>
      <c r="C22" s="227"/>
      <c r="D22" s="227"/>
      <c r="E22" s="227"/>
      <c r="F22" s="227"/>
      <c r="G22" s="227"/>
      <c r="H22" s="227"/>
      <c r="I22" s="227"/>
      <c r="J22" s="227"/>
      <c r="K22" s="227"/>
    </row>
    <row r="23" spans="2:11" x14ac:dyDescent="0.3">
      <c r="B23" s="227"/>
      <c r="C23" s="227"/>
      <c r="D23" s="227"/>
      <c r="E23" s="227"/>
      <c r="F23" s="227"/>
      <c r="G23" s="227"/>
      <c r="H23" s="227"/>
      <c r="I23" s="227"/>
      <c r="J23" s="227"/>
      <c r="K23" s="227"/>
    </row>
    <row r="24" spans="2:11" x14ac:dyDescent="0.3">
      <c r="B24" s="227"/>
      <c r="C24" s="227"/>
      <c r="D24" s="227"/>
      <c r="E24" s="227"/>
      <c r="F24" s="227"/>
      <c r="G24" s="227"/>
      <c r="H24" s="227"/>
      <c r="I24" s="227"/>
      <c r="J24" s="227"/>
      <c r="K24" s="227"/>
    </row>
    <row r="25" spans="2:11" x14ac:dyDescent="0.3">
      <c r="B25" s="233" t="s">
        <v>1002</v>
      </c>
      <c r="C25" s="233"/>
      <c r="D25" s="233"/>
      <c r="E25" s="233"/>
      <c r="F25" s="233"/>
      <c r="G25" s="233"/>
      <c r="H25" s="233"/>
      <c r="I25" s="233"/>
      <c r="J25" s="233"/>
      <c r="K25" s="233"/>
    </row>
    <row r="26" spans="2:11" x14ac:dyDescent="0.3"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pans="2:11" x14ac:dyDescent="0.3">
      <c r="B27" s="233"/>
      <c r="C27" s="233"/>
      <c r="D27" s="233"/>
      <c r="E27" s="233"/>
      <c r="F27" s="233"/>
      <c r="G27" s="233"/>
      <c r="H27" s="233"/>
      <c r="I27" s="233"/>
      <c r="J27" s="233"/>
      <c r="K27" s="233"/>
    </row>
    <row r="28" spans="2:11" x14ac:dyDescent="0.3">
      <c r="B28" s="233"/>
      <c r="C28" s="233"/>
      <c r="D28" s="233"/>
      <c r="E28" s="233"/>
      <c r="F28" s="233"/>
      <c r="G28" s="233"/>
      <c r="H28" s="233"/>
      <c r="I28" s="233"/>
      <c r="J28" s="233"/>
      <c r="K28" s="233"/>
    </row>
    <row r="29" spans="2:11" x14ac:dyDescent="0.3">
      <c r="B29" s="233"/>
      <c r="C29" s="233"/>
      <c r="D29" s="233"/>
      <c r="E29" s="233"/>
      <c r="F29" s="233"/>
      <c r="G29" s="233"/>
      <c r="H29" s="233"/>
      <c r="I29" s="233"/>
      <c r="J29" s="233"/>
      <c r="K29" s="233"/>
    </row>
  </sheetData>
  <mergeCells count="12">
    <mergeCell ref="B22:K24"/>
    <mergeCell ref="B25:K29"/>
    <mergeCell ref="C14:K15"/>
    <mergeCell ref="B16:E17"/>
    <mergeCell ref="B18:K19"/>
    <mergeCell ref="B20:E21"/>
    <mergeCell ref="B3:M6"/>
    <mergeCell ref="B8:E9"/>
    <mergeCell ref="C10:K11"/>
    <mergeCell ref="C12:K13"/>
    <mergeCell ref="B10:B11"/>
    <mergeCell ref="B12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D60D-4C13-417A-B6E1-E0D816A0087E}">
  <dimension ref="C3:K56"/>
  <sheetViews>
    <sheetView showGridLines="0" tabSelected="1" zoomScale="80" zoomScaleNormal="80" workbookViewId="0">
      <selection activeCell="C32" sqref="C32:E35"/>
    </sheetView>
  </sheetViews>
  <sheetFormatPr baseColWidth="10" defaultRowHeight="13.8" x14ac:dyDescent="0.25"/>
  <cols>
    <col min="1" max="5" width="11.5546875" style="30"/>
    <col min="6" max="6" width="14.88671875" style="30" customWidth="1"/>
    <col min="7" max="7" width="15" style="30" customWidth="1"/>
    <col min="8" max="8" width="24" style="30" customWidth="1"/>
    <col min="9" max="9" width="18.88671875" style="30" customWidth="1"/>
    <col min="10" max="10" width="22.77734375" style="30" customWidth="1"/>
    <col min="11" max="11" width="21.6640625" style="30" customWidth="1"/>
    <col min="12" max="16384" width="11.5546875" style="30"/>
  </cols>
  <sheetData>
    <row r="3" spans="3:11" ht="14.4" thickBot="1" x14ac:dyDescent="0.3"/>
    <row r="4" spans="3:11" ht="14.4" thickBot="1" x14ac:dyDescent="0.3">
      <c r="H4" s="31" t="s">
        <v>951</v>
      </c>
      <c r="I4" s="32"/>
      <c r="J4" s="31" t="s">
        <v>952</v>
      </c>
      <c r="K4" s="32"/>
    </row>
    <row r="5" spans="3:11" ht="14.4" customHeight="1" x14ac:dyDescent="0.25">
      <c r="C5" s="33" t="s">
        <v>953</v>
      </c>
      <c r="D5" s="34"/>
      <c r="E5" s="34"/>
      <c r="F5" s="34"/>
      <c r="G5" s="35"/>
      <c r="H5" s="36" t="s">
        <v>882</v>
      </c>
      <c r="I5" s="37"/>
      <c r="J5" s="38" t="e">
        <f>+VLOOKUP(H5,REFRIGERANTES!$F$10:$P$173,11,FALSE)</f>
        <v>#N/A</v>
      </c>
      <c r="K5" s="39"/>
    </row>
    <row r="6" spans="3:11" ht="14.4" customHeight="1" x14ac:dyDescent="0.25">
      <c r="C6" s="40"/>
      <c r="D6" s="41"/>
      <c r="E6" s="41"/>
      <c r="F6" s="41"/>
      <c r="G6" s="42"/>
      <c r="H6" s="43"/>
      <c r="I6" s="44"/>
      <c r="J6" s="45"/>
      <c r="K6" s="46"/>
    </row>
    <row r="7" spans="3:11" ht="14.4" customHeight="1" x14ac:dyDescent="0.25">
      <c r="C7" s="40"/>
      <c r="D7" s="41"/>
      <c r="E7" s="41"/>
      <c r="F7" s="41"/>
      <c r="G7" s="42"/>
      <c r="H7" s="43"/>
      <c r="I7" s="44"/>
      <c r="J7" s="45"/>
      <c r="K7" s="46"/>
    </row>
    <row r="8" spans="3:11" ht="15" customHeight="1" thickBot="1" x14ac:dyDescent="0.3">
      <c r="C8" s="47"/>
      <c r="D8" s="48"/>
      <c r="E8" s="48"/>
      <c r="F8" s="48"/>
      <c r="G8" s="49"/>
      <c r="H8" s="50"/>
      <c r="I8" s="51"/>
      <c r="J8" s="52"/>
      <c r="K8" s="53"/>
    </row>
    <row r="9" spans="3:11" ht="15" customHeight="1" x14ac:dyDescent="0.25">
      <c r="C9" s="54" t="s">
        <v>954</v>
      </c>
      <c r="D9" s="55"/>
      <c r="E9" s="55"/>
      <c r="F9" s="55"/>
      <c r="G9" s="56"/>
      <c r="H9" s="57" t="e">
        <f>+VLOOKUP($H$5,REFRIGERANTES!$F$10:$U$173,16,FALSE)</f>
        <v>#N/A</v>
      </c>
      <c r="I9" s="58"/>
      <c r="J9" s="58"/>
      <c r="K9" s="59"/>
    </row>
    <row r="10" spans="3:11" ht="15" customHeight="1" x14ac:dyDescent="0.25">
      <c r="C10" s="60"/>
      <c r="D10" s="61"/>
      <c r="E10" s="61"/>
      <c r="F10" s="61"/>
      <c r="G10" s="62"/>
      <c r="H10" s="63"/>
      <c r="I10" s="64"/>
      <c r="J10" s="64"/>
      <c r="K10" s="65"/>
    </row>
    <row r="11" spans="3:11" ht="15" customHeight="1" x14ac:dyDescent="0.25">
      <c r="C11" s="60"/>
      <c r="D11" s="61"/>
      <c r="E11" s="61"/>
      <c r="F11" s="61"/>
      <c r="G11" s="62"/>
      <c r="H11" s="63"/>
      <c r="I11" s="64"/>
      <c r="J11" s="64"/>
      <c r="K11" s="65"/>
    </row>
    <row r="12" spans="3:11" ht="15" customHeight="1" thickBot="1" x14ac:dyDescent="0.3">
      <c r="C12" s="66"/>
      <c r="D12" s="67"/>
      <c r="E12" s="67"/>
      <c r="F12" s="67"/>
      <c r="G12" s="68"/>
      <c r="H12" s="69"/>
      <c r="I12" s="70"/>
      <c r="J12" s="70"/>
      <c r="K12" s="71"/>
    </row>
    <row r="13" spans="3:11" x14ac:dyDescent="0.25">
      <c r="C13" s="33" t="s">
        <v>955</v>
      </c>
      <c r="D13" s="34"/>
      <c r="E13" s="34"/>
      <c r="F13" s="34"/>
      <c r="G13" s="35"/>
      <c r="H13" s="36" t="s">
        <v>913</v>
      </c>
      <c r="I13" s="209"/>
      <c r="J13" s="209"/>
      <c r="K13" s="37"/>
    </row>
    <row r="14" spans="3:11" x14ac:dyDescent="0.25">
      <c r="C14" s="40"/>
      <c r="D14" s="41"/>
      <c r="E14" s="41"/>
      <c r="F14" s="41"/>
      <c r="G14" s="42"/>
      <c r="H14" s="43"/>
      <c r="I14" s="210"/>
      <c r="J14" s="210"/>
      <c r="K14" s="44"/>
    </row>
    <row r="15" spans="3:11" x14ac:dyDescent="0.25">
      <c r="C15" s="40"/>
      <c r="D15" s="41"/>
      <c r="E15" s="41"/>
      <c r="F15" s="41"/>
      <c r="G15" s="42"/>
      <c r="H15" s="43"/>
      <c r="I15" s="210"/>
      <c r="J15" s="210"/>
      <c r="K15" s="44"/>
    </row>
    <row r="16" spans="3:11" ht="14.4" thickBot="1" x14ac:dyDescent="0.3">
      <c r="C16" s="47"/>
      <c r="D16" s="48"/>
      <c r="E16" s="48"/>
      <c r="F16" s="48"/>
      <c r="G16" s="49"/>
      <c r="H16" s="50"/>
      <c r="I16" s="211"/>
      <c r="J16" s="211"/>
      <c r="K16" s="51"/>
    </row>
    <row r="17" spans="3:11" ht="19.8" customHeight="1" thickBot="1" x14ac:dyDescent="0.35">
      <c r="C17" s="33" t="s">
        <v>956</v>
      </c>
      <c r="D17" s="72"/>
      <c r="E17" s="72"/>
      <c r="F17" s="72"/>
      <c r="G17" s="73"/>
      <c r="H17" s="74" t="s">
        <v>957</v>
      </c>
      <c r="I17" s="75"/>
      <c r="J17" s="74" t="s">
        <v>958</v>
      </c>
      <c r="K17" s="75"/>
    </row>
    <row r="18" spans="3:11" ht="35.4" customHeight="1" thickBot="1" x14ac:dyDescent="0.3">
      <c r="C18" s="76"/>
      <c r="D18" s="77"/>
      <c r="E18" s="77"/>
      <c r="F18" s="77"/>
      <c r="G18" s="78"/>
      <c r="H18" s="79" t="s">
        <v>959</v>
      </c>
      <c r="I18" s="79" t="s">
        <v>960</v>
      </c>
      <c r="J18" s="212" t="e">
        <f>+(H19+I19)*10^-3*VLOOKUP($H$5,REFRIGERANTES!$F$10:$P$173,11,FALSE)</f>
        <v>#N/A</v>
      </c>
      <c r="K18" s="39"/>
    </row>
    <row r="19" spans="3:11" ht="13.8" customHeight="1" x14ac:dyDescent="0.25">
      <c r="C19" s="76"/>
      <c r="D19" s="77"/>
      <c r="E19" s="77"/>
      <c r="F19" s="77"/>
      <c r="G19" s="78"/>
      <c r="H19" s="80">
        <v>0</v>
      </c>
      <c r="I19" s="80">
        <v>0</v>
      </c>
      <c r="J19" s="213"/>
      <c r="K19" s="46"/>
    </row>
    <row r="20" spans="3:11" ht="14.4" customHeight="1" thickBot="1" x14ac:dyDescent="0.3">
      <c r="C20" s="81"/>
      <c r="D20" s="82"/>
      <c r="E20" s="82"/>
      <c r="F20" s="82"/>
      <c r="G20" s="83"/>
      <c r="H20" s="84"/>
      <c r="I20" s="84"/>
      <c r="J20" s="214"/>
      <c r="K20" s="53"/>
    </row>
    <row r="21" spans="3:11" x14ac:dyDescent="0.25">
      <c r="C21" s="54" t="s">
        <v>961</v>
      </c>
      <c r="D21" s="55"/>
      <c r="E21" s="55"/>
      <c r="F21" s="55"/>
      <c r="G21" s="56"/>
      <c r="H21" s="212" t="e">
        <f>+IF(OR(H9="HFC",H9="PFC",H9="PFC/HFC",H9="HFC/ANEXO II",H9="ANEXO II"),"REGLAMENTO UE 573/2024",IF(H9="SUJETO A REGLAMENTO SUSTANCIAS DAÑAN CAPA DE OZONO","REGLAMENTO UE 590/2024",IF(H9="NO SUJETO A RESTRICCIONES MEDIOAMBIENTALES","OTRO","-")))</f>
        <v>#N/A</v>
      </c>
      <c r="I21" s="38"/>
      <c r="J21" s="38"/>
      <c r="K21" s="39"/>
    </row>
    <row r="22" spans="3:11" x14ac:dyDescent="0.25">
      <c r="C22" s="60"/>
      <c r="D22" s="61"/>
      <c r="E22" s="61"/>
      <c r="F22" s="61"/>
      <c r="G22" s="62"/>
      <c r="H22" s="213"/>
      <c r="I22" s="45"/>
      <c r="J22" s="45"/>
      <c r="K22" s="46"/>
    </row>
    <row r="23" spans="3:11" ht="15" customHeight="1" thickBot="1" x14ac:dyDescent="0.3">
      <c r="C23" s="66"/>
      <c r="D23" s="67"/>
      <c r="E23" s="67"/>
      <c r="F23" s="67"/>
      <c r="G23" s="68"/>
      <c r="H23" s="214"/>
      <c r="I23" s="52"/>
      <c r="J23" s="52"/>
      <c r="K23" s="53"/>
    </row>
    <row r="24" spans="3:11" ht="14.4" hidden="1" thickBot="1" x14ac:dyDescent="0.3">
      <c r="C24" s="85" t="s">
        <v>962</v>
      </c>
      <c r="D24" s="86"/>
      <c r="E24" s="86"/>
      <c r="F24" s="86"/>
      <c r="G24" s="87"/>
      <c r="H24" s="85" t="e">
        <f>+IF(AND(H21="REGLAMENTO UE 573/2024",H13="SÍ",J18&gt;=10,H9&lt;&gt;"ANEXO II"),"SUJETO A CONTROL DE FUGAS",
IF(AND(H21="REGLAMENTO UE 573/2024",H13="NO",J18&gt;=5,H9&lt;&gt;"ANEXO II"),"SUJETO A CONTROL DE FUGAS",
IF(AND(H21="REGLAMENTO UE 573/2024",H13="SÍ",H18&gt;=2,H9="ANEXO II"),"SUJETO A CONTROL DE FUGAS",
IF(AND(H21="REGLAMENTO UE 573/2024",H13="NO",J18&gt;=1,H9="ANEXO II"),"SUJETO A CONTROL DE FUGAS",
IF(AND(H21="REGLAMENTO UE 573/2024",H13="SÍ",J18&gt;=3,F40="Sí"),"SUJETO A CONTROL DE FUGAS","EXENTO CONTROL DE FUGAS")))))</f>
        <v>#N/A</v>
      </c>
      <c r="I24" s="88"/>
      <c r="J24" s="89" t="e">
        <f>+IF(AND(H18&gt;=3,H21="REGLAMENTO UE 590/2024"),"SUJETO A CONTROLES DE FUGAS SUST. AGOTAN CAPA DE OZONO", "EXENTO")</f>
        <v>#N/A</v>
      </c>
      <c r="K24" s="88"/>
    </row>
    <row r="25" spans="3:11" ht="14.4" hidden="1" thickBot="1" x14ac:dyDescent="0.3">
      <c r="C25" s="90"/>
      <c r="D25" s="91"/>
      <c r="E25" s="91"/>
      <c r="F25" s="91"/>
      <c r="G25" s="92"/>
      <c r="H25" s="93"/>
      <c r="I25" s="94"/>
      <c r="J25" s="93"/>
      <c r="K25" s="94"/>
    </row>
    <row r="26" spans="3:11" ht="14.4" hidden="1" thickBot="1" x14ac:dyDescent="0.3">
      <c r="C26" s="95"/>
      <c r="D26" s="96"/>
      <c r="E26" s="96"/>
      <c r="F26" s="96"/>
      <c r="G26" s="97"/>
      <c r="H26" s="98"/>
      <c r="I26" s="99"/>
      <c r="J26" s="98"/>
      <c r="K26" s="99"/>
    </row>
    <row r="27" spans="3:11" ht="14.4" hidden="1" thickBot="1" x14ac:dyDescent="0.3">
      <c r="C27" s="85" t="s">
        <v>963</v>
      </c>
      <c r="D27" s="86"/>
      <c r="E27" s="86"/>
      <c r="F27" s="86"/>
      <c r="G27" s="87"/>
      <c r="H27" s="89" t="e">
        <f>+IF(H21="REGLAMENTO UE 590/2024","DESTINADO A DESTRUCCIÓN", "CONSULTAR RESTRICCIONES USO F-GAS")</f>
        <v>#N/A</v>
      </c>
      <c r="I27" s="100"/>
      <c r="J27" s="100"/>
      <c r="K27" s="88"/>
    </row>
    <row r="28" spans="3:11" ht="14.4" hidden="1" thickBot="1" x14ac:dyDescent="0.3">
      <c r="C28" s="90"/>
      <c r="D28" s="91"/>
      <c r="E28" s="91"/>
      <c r="F28" s="91"/>
      <c r="G28" s="92"/>
      <c r="H28" s="93"/>
      <c r="I28" s="101"/>
      <c r="J28" s="101"/>
      <c r="K28" s="94"/>
    </row>
    <row r="29" spans="3:11" ht="14.4" hidden="1" thickBot="1" x14ac:dyDescent="0.3">
      <c r="C29" s="90"/>
      <c r="D29" s="91"/>
      <c r="E29" s="91"/>
      <c r="F29" s="91"/>
      <c r="G29" s="92"/>
      <c r="H29" s="93"/>
      <c r="I29" s="101"/>
      <c r="J29" s="101"/>
      <c r="K29" s="94"/>
    </row>
    <row r="30" spans="3:11" ht="14.4" hidden="1" thickBot="1" x14ac:dyDescent="0.3">
      <c r="C30" s="95"/>
      <c r="D30" s="96"/>
      <c r="E30" s="96"/>
      <c r="F30" s="96"/>
      <c r="G30" s="97"/>
      <c r="H30" s="98"/>
      <c r="I30" s="102"/>
      <c r="J30" s="102"/>
      <c r="K30" s="99"/>
    </row>
    <row r="31" spans="3:11" ht="18" thickBot="1" x14ac:dyDescent="0.3">
      <c r="C31" s="103" t="s">
        <v>964</v>
      </c>
      <c r="D31" s="104"/>
      <c r="E31" s="104"/>
      <c r="F31" s="104"/>
      <c r="G31" s="104"/>
      <c r="H31" s="104"/>
      <c r="I31" s="104"/>
      <c r="J31" s="104"/>
      <c r="K31" s="105"/>
    </row>
    <row r="32" spans="3:11" ht="34.799999999999997" customHeight="1" thickBot="1" x14ac:dyDescent="0.3">
      <c r="C32" s="36" t="s">
        <v>907</v>
      </c>
      <c r="D32" s="209"/>
      <c r="E32" s="37"/>
      <c r="F32" s="106" t="s">
        <v>1004</v>
      </c>
      <c r="G32" s="107"/>
      <c r="H32" s="108" t="s">
        <v>926</v>
      </c>
      <c r="I32" s="109" t="s">
        <v>965</v>
      </c>
      <c r="J32" s="110"/>
      <c r="K32" s="111" t="e">
        <f>+VLOOKUP($C$32,[1]EQUIPOS!$C$5:$H$30,6,FALSE)</f>
        <v>#N/A</v>
      </c>
    </row>
    <row r="33" spans="3:11" ht="34.799999999999997" customHeight="1" thickBot="1" x14ac:dyDescent="0.3">
      <c r="C33" s="43"/>
      <c r="D33" s="210"/>
      <c r="E33" s="44"/>
      <c r="F33" s="106" t="s">
        <v>966</v>
      </c>
      <c r="G33" s="107"/>
      <c r="H33" s="111" t="e">
        <f>+VLOOKUP($C$32,[1]EQUIPOS!$C$5:$H$30,4,FALSE)</f>
        <v>#N/A</v>
      </c>
      <c r="I33" s="112" t="s">
        <v>967</v>
      </c>
      <c r="J33" s="113"/>
      <c r="K33" s="114" t="e">
        <f>+VLOOKUP($C$32,[1]EQUIPOS!$C$5:$H$30,5,FALSE)</f>
        <v>#N/A</v>
      </c>
    </row>
    <row r="34" spans="3:11" ht="34.799999999999997" customHeight="1" thickBot="1" x14ac:dyDescent="0.3">
      <c r="C34" s="43"/>
      <c r="D34" s="210"/>
      <c r="E34" s="44"/>
      <c r="F34" s="103" t="s">
        <v>968</v>
      </c>
      <c r="G34" s="104"/>
      <c r="H34" s="115" t="s">
        <v>1003</v>
      </c>
      <c r="I34" s="103" t="s">
        <v>969</v>
      </c>
      <c r="J34" s="105"/>
      <c r="K34" s="116" t="e">
        <f>+VLOOKUP($C$32,[1]EQUIPOS!$C$5:$H$30,2,FALSE)</f>
        <v>#N/A</v>
      </c>
    </row>
    <row r="35" spans="3:11" ht="34.799999999999997" customHeight="1" thickBot="1" x14ac:dyDescent="0.3">
      <c r="C35" s="50"/>
      <c r="D35" s="211"/>
      <c r="E35" s="51"/>
      <c r="F35" s="104" t="s">
        <v>970</v>
      </c>
      <c r="G35" s="105"/>
      <c r="H35" s="117" t="e">
        <f>++VLOOKUP($C$32,[1]EQUIPOS!$C$5:$H$30,3,FALSE)</f>
        <v>#N/A</v>
      </c>
      <c r="I35" s="118"/>
      <c r="J35" s="118"/>
      <c r="K35" s="119"/>
    </row>
    <row r="36" spans="3:11" ht="34.799999999999997" customHeight="1" x14ac:dyDescent="0.25">
      <c r="C36" s="120"/>
      <c r="D36" s="120"/>
      <c r="E36" s="120"/>
      <c r="F36" s="120"/>
      <c r="G36" s="120"/>
      <c r="H36" s="121"/>
      <c r="I36" s="121"/>
      <c r="J36" s="122"/>
      <c r="K36" s="122"/>
    </row>
    <row r="37" spans="3:11" ht="34.799999999999997" hidden="1" customHeight="1" thickBot="1" x14ac:dyDescent="0.3">
      <c r="C37" s="123" t="s">
        <v>971</v>
      </c>
      <c r="D37" s="124"/>
      <c r="E37" s="124"/>
      <c r="F37" s="124"/>
      <c r="G37" s="124"/>
      <c r="H37" s="124"/>
      <c r="I37" s="124"/>
      <c r="J37" s="124"/>
      <c r="K37" s="125"/>
    </row>
    <row r="38" spans="3:11" ht="17.399999999999999" hidden="1" customHeight="1" x14ac:dyDescent="0.25">
      <c r="C38" s="89" t="s">
        <v>972</v>
      </c>
      <c r="D38" s="100"/>
      <c r="E38" s="88"/>
      <c r="F38" s="126" t="e">
        <f>+IF(AND(H35="GFEI",H21="REGLAMENTO UE 573/2024"),1,
IF(AND(H35="HFC",OR(H9="HFC",H9="HFC/ANEXO II",H9="PFC/HFC")),1,
IF(AND(H35="PFC/HFC",OR(H9="HFC",H9="HFC/ANEXO II",H9="PFC/HFC")),1,0)))</f>
        <v>#N/A</v>
      </c>
      <c r="G38" s="127" t="s">
        <v>973</v>
      </c>
      <c r="H38" s="126" t="e">
        <f>+IF(K34&lt;H34,1,0)</f>
        <v>#N/A</v>
      </c>
      <c r="I38" s="128" t="s">
        <v>974</v>
      </c>
      <c r="J38" s="89" t="str">
        <f>+IF(OR(H32="Equipo militar",H32="Temperatura por debajo de -50ºC"),1,IF(H32="No",0,"x"))</f>
        <v>x</v>
      </c>
      <c r="K38" s="88"/>
    </row>
    <row r="39" spans="3:11" ht="14.4" hidden="1" customHeight="1" thickBot="1" x14ac:dyDescent="0.3">
      <c r="C39" s="98"/>
      <c r="D39" s="102"/>
      <c r="E39" s="99"/>
      <c r="F39" s="129"/>
      <c r="G39" s="130"/>
      <c r="H39" s="129"/>
      <c r="I39" s="131"/>
      <c r="J39" s="98"/>
      <c r="K39" s="99"/>
    </row>
    <row r="40" spans="3:11" ht="29.4" hidden="1" customHeight="1" thickBot="1" x14ac:dyDescent="0.3">
      <c r="C40" s="132" t="s">
        <v>975</v>
      </c>
      <c r="D40" s="133"/>
      <c r="E40" s="134" t="e">
        <f>+IF(J5&gt;H33,1,0)</f>
        <v>#N/A</v>
      </c>
      <c r="F40" s="132" t="s">
        <v>976</v>
      </c>
      <c r="G40" s="133"/>
      <c r="H40" s="134" t="e">
        <f>+IF(K32="Condiciones de seguridad",1,0)</f>
        <v>#N/A</v>
      </c>
      <c r="I40" s="135" t="s">
        <v>977</v>
      </c>
      <c r="J40" s="136"/>
      <c r="K40" s="134" t="e">
        <f>+IF(H40=1,1,0)</f>
        <v>#N/A</v>
      </c>
    </row>
    <row r="41" spans="3:11" ht="32.4" hidden="1" customHeight="1" thickBot="1" x14ac:dyDescent="0.3">
      <c r="C41" s="135" t="s">
        <v>978</v>
      </c>
      <c r="D41" s="136"/>
      <c r="E41" s="134" t="e">
        <f>+IF(K33&lt;&gt;" ",1,0)</f>
        <v>#N/A</v>
      </c>
      <c r="F41" s="132" t="s">
        <v>979</v>
      </c>
      <c r="G41" s="133"/>
      <c r="H41" s="134" t="e">
        <f>+IF(E41&lt;&gt;0,IF(J5&gt;K33,1,0),0)</f>
        <v>#N/A</v>
      </c>
      <c r="I41" s="120"/>
      <c r="J41" s="120"/>
      <c r="K41" s="120"/>
    </row>
    <row r="42" spans="3:11" ht="32.4" customHeight="1" thickBot="1" x14ac:dyDescent="0.3">
      <c r="C42" s="121"/>
      <c r="D42" s="121"/>
      <c r="E42" s="137"/>
      <c r="F42" s="137"/>
      <c r="G42" s="137"/>
      <c r="H42" s="137"/>
      <c r="I42" s="120"/>
      <c r="J42" s="120"/>
      <c r="K42" s="120"/>
    </row>
    <row r="43" spans="3:11" ht="26.4" customHeight="1" thickBot="1" x14ac:dyDescent="0.3">
      <c r="C43" s="123" t="s">
        <v>980</v>
      </c>
      <c r="D43" s="124"/>
      <c r="E43" s="124"/>
      <c r="F43" s="124"/>
      <c r="G43" s="125"/>
      <c r="H43" s="120"/>
      <c r="I43" s="120"/>
      <c r="J43" s="120"/>
      <c r="K43" s="120"/>
    </row>
    <row r="44" spans="3:11" ht="58.2" customHeight="1" thickBot="1" x14ac:dyDescent="0.3">
      <c r="C44" s="117" t="e">
        <f>+IF(J38=1,"-",
IF(F38=1,
IF(E40=1,
IF(H38=1,
IF(H40=1,
IF(E41=1,
IF(H41=1,"PROHIBIDO PONER EN SERVICIO",
"PROHIBIDA SU PUESTA EN FUNCIONAMIENTO, A MENOS QUE ASÍ LO EXIJAN LOS REQUISITOS DE SEGURIDAD QUE DEBAN APLICARSE A LA ZONA DE OPERACIÓN - REGLAMENTO DE SEGURIDAD DE INSTALACIONES FRIGORÍFICAS, INSTRUCCIÓN IF-04, TABLAS A Y B"),
"PROHIBIDA SU PUESTA EN FUNCIONAMIENTO, A MENOS QUE ASÍ LO EXIJAN LOS REQUISITOS DE SEGURIDAD QUE DEBAN APLICARSE A LA ZONA DE OPERACIÓN - REGLAMENTO DE SEGURIDAD DE INSTALACIONES FRIGORÍFICAS, INSTRUCCIÓN IF-04, TABLAS A Y B"),
"PROHIBIDO PONER EN SERVICIO"),
"PERMITIDA SU PUESTA EN SERVICIO"),
"PERMITIDA SU PUESTA EN SERVICIO"),
"PERMITIDA SU PUESTA EN SERVICIO"))</f>
        <v>#N/A</v>
      </c>
      <c r="D44" s="118"/>
      <c r="E44" s="118"/>
      <c r="F44" s="118"/>
      <c r="G44" s="118"/>
      <c r="H44" s="118"/>
      <c r="I44" s="118"/>
      <c r="J44" s="118"/>
      <c r="K44" s="119"/>
    </row>
    <row r="45" spans="3:11" ht="31.2" customHeight="1" thickBot="1" x14ac:dyDescent="0.3">
      <c r="C45" s="123" t="s">
        <v>981</v>
      </c>
      <c r="D45" s="124"/>
      <c r="E45" s="124"/>
      <c r="F45" s="124"/>
      <c r="G45" s="125"/>
      <c r="H45" s="120"/>
      <c r="I45" s="120"/>
      <c r="J45" s="120"/>
      <c r="K45" s="120"/>
    </row>
    <row r="46" spans="3:11" ht="39.6" customHeight="1" thickBot="1" x14ac:dyDescent="0.3">
      <c r="C46" s="138" t="e">
        <f>+IF(AND(H21="REGLAMENTO UE 573/2024",H32="EQUIPO MILITAR"),"USO EXCLUSIVO EN EQUIPO MILITAR","-")</f>
        <v>#N/A</v>
      </c>
      <c r="D46" s="139"/>
      <c r="E46" s="139"/>
      <c r="F46" s="139"/>
      <c r="G46" s="139"/>
      <c r="H46" s="139"/>
      <c r="I46" s="139"/>
      <c r="J46" s="139"/>
      <c r="K46" s="140"/>
    </row>
    <row r="47" spans="3:11" ht="26.4" customHeight="1" thickBot="1" x14ac:dyDescent="0.3">
      <c r="C47" s="54" t="s">
        <v>982</v>
      </c>
      <c r="D47" s="55"/>
      <c r="E47" s="55"/>
      <c r="F47" s="55"/>
      <c r="G47" s="56"/>
      <c r="H47" s="120"/>
      <c r="I47" s="120"/>
      <c r="J47" s="120"/>
      <c r="K47" s="120"/>
    </row>
    <row r="48" spans="3:11" ht="17.399999999999999" customHeight="1" x14ac:dyDescent="0.25">
      <c r="C48" s="215" t="str">
        <f>+IF(OR(H32="No",H32="Equipo militar",H32="Aplicaciones especiales"),"-",IF(MID(C32,LEN(C32)-4,4)&lt;&gt;"50 º","-",IF(MID(C32,LEN(C32)-4,4)="50 º",
IF(AND(H32="Temperatura por debajo de -50ºC",DATOS!H21="REGLAMENTO UE 573/2024"),
IF(AND(DATOS!J5&gt;=2500,OR(DATOS!H9="HFC",DATOS!H9="HFC/ANEXO II",DATOS!H9="PFC/HFC")),"PERMITIDA SU PUESTA EN SERVICIO ACORDE AL ANEXO IV DEL REGLAMENTO UE 573/2024, EQUIPO PARA APLICACIONES CON T &lt; -50ºC",
IF(AND(DATOS!J5&lt;2500,DATOS!H21="REGLAMENTO UE 573/2024"),"PERMITADA SU PUESTA EN SERVICIO ACORDE AL ANEXO IV DEL REGLAMENTO UE 573/2024","-"))))))</f>
        <v>-</v>
      </c>
      <c r="D48" s="216"/>
      <c r="E48" s="216"/>
      <c r="F48" s="216"/>
      <c r="G48" s="216"/>
      <c r="H48" s="216"/>
      <c r="I48" s="216"/>
      <c r="J48" s="216"/>
      <c r="K48" s="217"/>
    </row>
    <row r="49" spans="3:11" ht="25.2" customHeight="1" thickBot="1" x14ac:dyDescent="0.3">
      <c r="C49" s="218"/>
      <c r="D49" s="219"/>
      <c r="E49" s="219"/>
      <c r="F49" s="219"/>
      <c r="G49" s="219"/>
      <c r="H49" s="219"/>
      <c r="I49" s="219"/>
      <c r="J49" s="219"/>
      <c r="K49" s="220"/>
    </row>
    <row r="50" spans="3:11" ht="17.399999999999999" x14ac:dyDescent="0.25">
      <c r="C50" s="120"/>
      <c r="D50" s="120"/>
      <c r="E50" s="120"/>
      <c r="F50" s="120"/>
      <c r="G50" s="120"/>
      <c r="H50" s="120"/>
      <c r="I50" s="120"/>
      <c r="J50" s="120"/>
      <c r="K50" s="120"/>
    </row>
    <row r="54" spans="3:11" ht="14.4" x14ac:dyDescent="0.3">
      <c r="H54" s="12"/>
    </row>
    <row r="55" spans="3:11" ht="14.4" x14ac:dyDescent="0.3">
      <c r="H55" s="12"/>
    </row>
    <row r="56" spans="3:11" ht="14.4" x14ac:dyDescent="0.3">
      <c r="H56" s="12"/>
    </row>
  </sheetData>
  <mergeCells count="50">
    <mergeCell ref="C44:K44"/>
    <mergeCell ref="C45:G45"/>
    <mergeCell ref="C46:K46"/>
    <mergeCell ref="C47:G47"/>
    <mergeCell ref="C48:K49"/>
    <mergeCell ref="C40:D40"/>
    <mergeCell ref="F40:G40"/>
    <mergeCell ref="I40:J40"/>
    <mergeCell ref="C41:D41"/>
    <mergeCell ref="F41:G41"/>
    <mergeCell ref="C43:G43"/>
    <mergeCell ref="C37:K37"/>
    <mergeCell ref="C38:E39"/>
    <mergeCell ref="F38:F39"/>
    <mergeCell ref="G38:G39"/>
    <mergeCell ref="H38:H39"/>
    <mergeCell ref="I38:I39"/>
    <mergeCell ref="J38:K39"/>
    <mergeCell ref="C31:K31"/>
    <mergeCell ref="C32:E35"/>
    <mergeCell ref="F32:G32"/>
    <mergeCell ref="I32:J32"/>
    <mergeCell ref="F33:G33"/>
    <mergeCell ref="I33:J33"/>
    <mergeCell ref="F34:G34"/>
    <mergeCell ref="I34:J34"/>
    <mergeCell ref="F35:G35"/>
    <mergeCell ref="H35:K35"/>
    <mergeCell ref="C21:G23"/>
    <mergeCell ref="H21:K23"/>
    <mergeCell ref="C24:G26"/>
    <mergeCell ref="H24:I26"/>
    <mergeCell ref="J24:K26"/>
    <mergeCell ref="C27:G30"/>
    <mergeCell ref="H27:K30"/>
    <mergeCell ref="C13:G16"/>
    <mergeCell ref="H13:K16"/>
    <mergeCell ref="C17:G20"/>
    <mergeCell ref="H17:I17"/>
    <mergeCell ref="J17:K17"/>
    <mergeCell ref="J18:K20"/>
    <mergeCell ref="H19:H20"/>
    <mergeCell ref="I19:I20"/>
    <mergeCell ref="H4:I4"/>
    <mergeCell ref="J4:K4"/>
    <mergeCell ref="C5:G8"/>
    <mergeCell ref="H5:I8"/>
    <mergeCell ref="J5:K8"/>
    <mergeCell ref="C9:G12"/>
    <mergeCell ref="H9:K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9A9789-67DD-4BEC-A9AA-7AE86EA6BAA6}">
          <x14:formula1>
            <xm:f>EQUIPOS!$C$4:$C$30</xm:f>
          </x14:formula1>
          <xm:sqref>C32:E35</xm:sqref>
        </x14:dataValidation>
        <x14:dataValidation type="list" allowBlank="1" showInputMessage="1" showErrorMessage="1" xr:uid="{C98B70A5-2358-4BEF-A2A3-C1D08F97DE23}">
          <x14:formula1>
            <xm:f>EQUIPOS!$I$8:$I$11</xm:f>
          </x14:formula1>
          <xm:sqref>H32</xm:sqref>
        </x14:dataValidation>
        <x14:dataValidation type="list" allowBlank="1" showInputMessage="1" showErrorMessage="1" xr:uid="{2FC24D13-797D-41EB-A8B7-688A28F5050E}">
          <x14:formula1>
            <xm:f>REFRIGERANTES!$F$9:$F$173</xm:f>
          </x14:formula1>
          <xm:sqref>H5:I8</xm:sqref>
        </x14:dataValidation>
        <x14:dataValidation type="list" allowBlank="1" showInputMessage="1" showErrorMessage="1" xr:uid="{4B0F3CA6-AD0F-4753-BD12-658D58BA8B2A}">
          <x14:formula1>
            <xm:f>EQUIPOS!$I$4:$I$6</xm:f>
          </x14:formula1>
          <xm:sqref>H13:K16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7BF6-18B3-4755-9804-2D1113F411BA}">
  <dimension ref="B1:K42"/>
  <sheetViews>
    <sheetView showGridLines="0" view="pageBreakPreview" topLeftCell="A16" zoomScale="110" zoomScaleNormal="100" zoomScaleSheetLayoutView="110" workbookViewId="0">
      <selection activeCell="C36" sqref="C36:K42"/>
    </sheetView>
  </sheetViews>
  <sheetFormatPr baseColWidth="10" defaultRowHeight="14.4" x14ac:dyDescent="0.3"/>
  <cols>
    <col min="1" max="1" width="11.5546875" customWidth="1"/>
    <col min="2" max="2" width="19.44140625" customWidth="1"/>
    <col min="3" max="3" width="18.21875" customWidth="1"/>
    <col min="6" max="6" width="13.5546875" customWidth="1"/>
    <col min="12" max="12" width="11.33203125" customWidth="1"/>
    <col min="13" max="13" width="11.5546875" customWidth="1"/>
  </cols>
  <sheetData>
    <row r="1" spans="2:11" ht="15" thickBot="1" x14ac:dyDescent="0.35"/>
    <row r="2" spans="2:11" x14ac:dyDescent="0.3">
      <c r="B2" s="141" t="s">
        <v>983</v>
      </c>
      <c r="C2" s="142"/>
      <c r="G2" s="143" t="s">
        <v>984</v>
      </c>
      <c r="H2" s="144"/>
      <c r="J2" s="145"/>
      <c r="K2" s="146"/>
    </row>
    <row r="3" spans="2:11" x14ac:dyDescent="0.3">
      <c r="B3" s="147"/>
      <c r="C3" s="148"/>
      <c r="G3" s="149"/>
      <c r="H3" s="150"/>
      <c r="J3" s="151"/>
      <c r="K3" s="152"/>
    </row>
    <row r="4" spans="2:11" x14ac:dyDescent="0.3">
      <c r="B4" s="147"/>
      <c r="C4" s="148"/>
      <c r="G4" s="149"/>
      <c r="H4" s="150"/>
      <c r="J4" s="151"/>
      <c r="K4" s="152"/>
    </row>
    <row r="5" spans="2:11" ht="16.2" thickBot="1" x14ac:dyDescent="0.35">
      <c r="B5" s="153"/>
      <c r="C5" s="154"/>
      <c r="E5" s="155" t="s">
        <v>985</v>
      </c>
      <c r="F5" s="155"/>
      <c r="G5" s="156"/>
      <c r="H5" s="157"/>
      <c r="J5" s="158"/>
      <c r="K5" s="159"/>
    </row>
    <row r="7" spans="2:11" ht="15" thickBot="1" x14ac:dyDescent="0.35"/>
    <row r="8" spans="2:11" x14ac:dyDescent="0.3">
      <c r="C8" s="160" t="e">
        <f>+IF(DATOS!H21="REGLAMENTO UE 573/2024",DATOS!H5,"NO ES UN GAS SUJETO")</f>
        <v>#N/A</v>
      </c>
      <c r="D8" s="161"/>
      <c r="E8" s="162"/>
      <c r="G8" s="163" t="e">
        <f>+IF(DATOS!H21="REGLAMENTO UE 573/2024", "CONTIENE GASES FLUORADOS DE EFECTO INVERNADERO, REGULADOS BAJO EL REGLAMENTO UE 573/2024", "NO SUJETO A LAS NORMAS DE ETIQUETADO DEL REGLAMENTO UE 573/2024")</f>
        <v>#N/A</v>
      </c>
      <c r="H8" s="164"/>
      <c r="I8" s="164"/>
      <c r="J8" s="164"/>
      <c r="K8" s="165"/>
    </row>
    <row r="9" spans="2:11" x14ac:dyDescent="0.3">
      <c r="C9" s="166"/>
      <c r="D9" s="167"/>
      <c r="E9" s="168"/>
      <c r="G9" s="169"/>
      <c r="H9" s="170"/>
      <c r="I9" s="170"/>
      <c r="J9" s="170"/>
      <c r="K9" s="171"/>
    </row>
    <row r="10" spans="2:11" x14ac:dyDescent="0.3">
      <c r="C10" s="166"/>
      <c r="D10" s="167"/>
      <c r="E10" s="168"/>
      <c r="G10" s="169"/>
      <c r="H10" s="170"/>
      <c r="I10" s="170"/>
      <c r="J10" s="170"/>
      <c r="K10" s="171"/>
    </row>
    <row r="11" spans="2:11" ht="15" thickBot="1" x14ac:dyDescent="0.35">
      <c r="C11" s="172"/>
      <c r="D11" s="173"/>
      <c r="E11" s="174"/>
      <c r="G11" s="175"/>
      <c r="H11" s="176"/>
      <c r="I11" s="176"/>
      <c r="J11" s="176"/>
      <c r="K11" s="177"/>
    </row>
    <row r="12" spans="2:11" x14ac:dyDescent="0.3">
      <c r="C12" s="178"/>
      <c r="D12" s="178"/>
      <c r="E12" s="178"/>
    </row>
    <row r="13" spans="2:11" ht="15" thickBot="1" x14ac:dyDescent="0.35">
      <c r="C13" s="179" t="str">
        <f>+IF(DATOS!H13="SÍ","EQUIPO SELLADO HERMÉTICAMENTE","EQUIPO NO SELLADO HERMÉTICAMENTE")</f>
        <v>EQUIPO NO SELLADO HERMÉTICAMENTE</v>
      </c>
      <c r="D13" s="179"/>
      <c r="E13" s="179"/>
    </row>
    <row r="14" spans="2:11" ht="21" customHeight="1" thickBot="1" x14ac:dyDescent="0.5">
      <c r="C14" s="179"/>
      <c r="D14" s="179"/>
      <c r="E14" s="179"/>
      <c r="G14" s="180" t="s">
        <v>986</v>
      </c>
      <c r="H14" s="181"/>
      <c r="J14" s="180" t="s">
        <v>987</v>
      </c>
      <c r="K14" s="181"/>
    </row>
    <row r="16" spans="2:11" ht="15" thickBot="1" x14ac:dyDescent="0.35">
      <c r="B16" s="224" t="s">
        <v>991</v>
      </c>
      <c r="C16" s="182"/>
      <c r="D16" s="182"/>
    </row>
    <row r="17" spans="2:11" ht="14.4" customHeight="1" x14ac:dyDescent="0.3">
      <c r="B17" s="224"/>
      <c r="C17" s="182"/>
      <c r="D17" s="182"/>
      <c r="G17" s="183" t="e">
        <f>+IF($C$8&lt;&gt;"NO ES UN GAS SUJETO",DATOS!H19,"-")</f>
        <v>#N/A</v>
      </c>
      <c r="H17" s="184"/>
      <c r="J17" s="183" t="e">
        <f>+IF($C$8&lt;&gt;"NO ES UN GAS SUJETO",DATOS!H19*10^-3*DATOS!J5,"-")</f>
        <v>#N/A</v>
      </c>
      <c r="K17" s="184"/>
    </row>
    <row r="18" spans="2:11" ht="14.4" customHeight="1" x14ac:dyDescent="0.3">
      <c r="B18" s="224"/>
      <c r="C18" s="182"/>
      <c r="D18" s="182"/>
      <c r="G18" s="185"/>
      <c r="H18" s="186"/>
      <c r="J18" s="185"/>
      <c r="K18" s="186"/>
    </row>
    <row r="19" spans="2:11" ht="15" customHeight="1" thickBot="1" x14ac:dyDescent="0.35">
      <c r="B19" s="224"/>
      <c r="C19" s="182"/>
      <c r="D19" s="182"/>
      <c r="G19" s="187"/>
      <c r="H19" s="188"/>
      <c r="J19" s="187"/>
      <c r="K19" s="188"/>
    </row>
    <row r="20" spans="2:11" x14ac:dyDescent="0.3">
      <c r="C20" s="182"/>
      <c r="D20" s="182"/>
    </row>
    <row r="22" spans="2:11" x14ac:dyDescent="0.3">
      <c r="C22" s="182"/>
      <c r="D22" s="182"/>
      <c r="E22" s="182"/>
    </row>
    <row r="23" spans="2:11" ht="15" thickBot="1" x14ac:dyDescent="0.35">
      <c r="B23" s="224" t="s">
        <v>992</v>
      </c>
      <c r="C23" s="182"/>
      <c r="D23" s="182"/>
      <c r="E23" s="182"/>
    </row>
    <row r="24" spans="2:11" ht="15" customHeight="1" x14ac:dyDescent="0.3">
      <c r="B24" s="224"/>
      <c r="C24" s="182"/>
      <c r="D24" s="182"/>
      <c r="E24" s="182"/>
      <c r="G24" s="183" t="e">
        <f>+IF($C$8&lt;&gt;"NO ES UN GAS SUJETO",DATOS!I19*10^-3*DATOS!J5,"-")</f>
        <v>#N/A</v>
      </c>
      <c r="H24" s="184"/>
      <c r="J24" s="183" t="e">
        <f>+IF($C$8&lt;&gt;"NO ES UN GAS SUJETO",DATOS!I19*10^-3*DATOS!J5,"-")</f>
        <v>#N/A</v>
      </c>
      <c r="K24" s="184"/>
    </row>
    <row r="25" spans="2:11" ht="15" customHeight="1" x14ac:dyDescent="0.3">
      <c r="B25" s="224"/>
      <c r="C25" s="182"/>
      <c r="D25" s="182"/>
      <c r="E25" s="182"/>
      <c r="G25" s="185"/>
      <c r="H25" s="186"/>
      <c r="J25" s="185"/>
      <c r="K25" s="186"/>
    </row>
    <row r="26" spans="2:11" ht="15.75" customHeight="1" thickBot="1" x14ac:dyDescent="0.35">
      <c r="B26" s="224"/>
      <c r="C26" s="182"/>
      <c r="D26" s="182"/>
      <c r="E26" s="182"/>
      <c r="G26" s="187"/>
      <c r="H26" s="188"/>
      <c r="J26" s="187"/>
      <c r="K26" s="188"/>
    </row>
    <row r="27" spans="2:11" x14ac:dyDescent="0.3">
      <c r="B27" s="224"/>
      <c r="C27" s="182"/>
      <c r="D27" s="182"/>
      <c r="E27" s="182"/>
    </row>
    <row r="28" spans="2:11" x14ac:dyDescent="0.3">
      <c r="C28" s="182"/>
      <c r="D28" s="182"/>
      <c r="E28" s="182"/>
    </row>
    <row r="29" spans="2:11" ht="15" thickBot="1" x14ac:dyDescent="0.35"/>
    <row r="30" spans="2:11" ht="15" customHeight="1" x14ac:dyDescent="0.3">
      <c r="C30" s="189" t="s">
        <v>988</v>
      </c>
      <c r="D30" s="190"/>
      <c r="E30" s="191"/>
      <c r="G30" s="183" t="e">
        <f>+IF(AND(G17="",G24=""),"",SUM(G17,G24))</f>
        <v>#N/A</v>
      </c>
      <c r="H30" s="184"/>
      <c r="J30" s="183" t="e">
        <f>IF(AND(J17="",J24=""),"",SUM(J17,J24))</f>
        <v>#N/A</v>
      </c>
      <c r="K30" s="184"/>
    </row>
    <row r="31" spans="2:11" ht="15.75" customHeight="1" thickBot="1" x14ac:dyDescent="0.35">
      <c r="C31" s="192"/>
      <c r="D31" s="193"/>
      <c r="E31" s="194"/>
      <c r="G31" s="187"/>
      <c r="H31" s="188"/>
      <c r="J31" s="187"/>
      <c r="K31" s="188"/>
    </row>
    <row r="32" spans="2:11" ht="15.75" customHeight="1" x14ac:dyDescent="0.3">
      <c r="C32" s="195"/>
      <c r="D32" s="195"/>
      <c r="E32" s="195"/>
      <c r="G32" s="196"/>
      <c r="H32" s="196"/>
      <c r="J32" s="196"/>
      <c r="K32" s="196"/>
    </row>
    <row r="33" spans="3:11" ht="15.75" customHeight="1" x14ac:dyDescent="0.3">
      <c r="C33" s="195"/>
      <c r="D33" s="195"/>
      <c r="E33" s="196"/>
      <c r="F33" s="196"/>
      <c r="G33" s="196"/>
      <c r="H33" s="196"/>
      <c r="I33" s="196"/>
      <c r="J33" s="196"/>
      <c r="K33" s="196"/>
    </row>
    <row r="34" spans="3:11" ht="15.75" customHeight="1" x14ac:dyDescent="0.3">
      <c r="C34" s="195"/>
      <c r="D34" s="195"/>
      <c r="E34" s="196"/>
      <c r="F34" s="196"/>
      <c r="G34" s="196"/>
      <c r="H34" s="196"/>
      <c r="I34" s="196"/>
      <c r="J34" s="196"/>
      <c r="K34" s="196"/>
    </row>
    <row r="35" spans="3:11" ht="15" thickBot="1" x14ac:dyDescent="0.35"/>
    <row r="36" spans="3:11" ht="14.4" customHeight="1" x14ac:dyDescent="0.3">
      <c r="C36" s="197" t="e">
        <f>+IF(
AND(G8="CONTIENE GASES FLUORADOS DE EFECTO INVERNADERO, REGULADOS BAJO EL REGLAMENTO UE 573/2024",
DATOS!C46="-",
DATOS!C48="-",
DATOS!C44="PROHIBIDA SU PUESTA EN FUNCIONAMIENTO, A MENOS QUE ASÍ LO EXIJAN LOS REQUISITOS DE SEGURIDAD QUE DEBAN APLICARSE A LA ZONA DE OPERACIÓN - REGLAMENTO DE SEGURIDAD DE INSTALACIONES FRIGORÍFICAS, INSTRUCCIÓN IF-04, TABLAS A Y B"),
"PROHIBIDA SU PUESTA EN FUNCIONAMIENTO, A MENOS QUE ASÍ LO EXIJAN LOS REQUISITOS DE SEGURIDAD QUE DEBAN APLICARSE A LA ZONA DE OPERACIÓN - REGLAMENTO DE SEGURIDAD DE INSTALACIONES FRIGORÍFICAS, INSTRUCCIÓN IF-04, TABLAS A Y B",
IF(DATOS!C46&lt;&gt;"-",DATOS!C46,IF(AND(DATOS!C48&lt;&gt;"-"),DATOS!C48,IF(DATOS!C44="PROHIBIDO PONER EN SERVICIO",DATOS!C44," "))))</f>
        <v>#N/A</v>
      </c>
      <c r="D36" s="198"/>
      <c r="E36" s="198"/>
      <c r="F36" s="198"/>
      <c r="G36" s="198"/>
      <c r="H36" s="198"/>
      <c r="I36" s="198"/>
      <c r="J36" s="198"/>
      <c r="K36" s="199"/>
    </row>
    <row r="37" spans="3:11" ht="14.4" customHeight="1" x14ac:dyDescent="0.3">
      <c r="C37" s="200"/>
      <c r="D37" s="201"/>
      <c r="E37" s="201"/>
      <c r="F37" s="201"/>
      <c r="G37" s="201"/>
      <c r="H37" s="201"/>
      <c r="I37" s="201"/>
      <c r="J37" s="201"/>
      <c r="K37" s="202"/>
    </row>
    <row r="38" spans="3:11" ht="18.600000000000001" customHeight="1" x14ac:dyDescent="0.3">
      <c r="C38" s="200"/>
      <c r="D38" s="201"/>
      <c r="E38" s="201"/>
      <c r="F38" s="201"/>
      <c r="G38" s="201"/>
      <c r="H38" s="201"/>
      <c r="I38" s="201"/>
      <c r="J38" s="201"/>
      <c r="K38" s="202"/>
    </row>
    <row r="39" spans="3:11" ht="24.6" customHeight="1" x14ac:dyDescent="0.3">
      <c r="C39" s="200"/>
      <c r="D39" s="201"/>
      <c r="E39" s="201"/>
      <c r="F39" s="201"/>
      <c r="G39" s="201"/>
      <c r="H39" s="201"/>
      <c r="I39" s="201"/>
      <c r="J39" s="201"/>
      <c r="K39" s="202"/>
    </row>
    <row r="40" spans="3:11" x14ac:dyDescent="0.3">
      <c r="C40" s="200"/>
      <c r="D40" s="201"/>
      <c r="E40" s="201"/>
      <c r="F40" s="201"/>
      <c r="G40" s="201"/>
      <c r="H40" s="201"/>
      <c r="I40" s="201"/>
      <c r="J40" s="201"/>
      <c r="K40" s="202"/>
    </row>
    <row r="41" spans="3:11" ht="29.4" customHeight="1" x14ac:dyDescent="0.3">
      <c r="C41" s="200"/>
      <c r="D41" s="201"/>
      <c r="E41" s="201"/>
      <c r="F41" s="201"/>
      <c r="G41" s="201"/>
      <c r="H41" s="201"/>
      <c r="I41" s="201"/>
      <c r="J41" s="201"/>
      <c r="K41" s="202"/>
    </row>
    <row r="42" spans="3:11" ht="30.6" customHeight="1" thickBot="1" x14ac:dyDescent="0.35">
      <c r="C42" s="203"/>
      <c r="D42" s="204"/>
      <c r="E42" s="204"/>
      <c r="F42" s="204"/>
      <c r="G42" s="204"/>
      <c r="H42" s="204"/>
      <c r="I42" s="204"/>
      <c r="J42" s="204"/>
      <c r="K42" s="205"/>
    </row>
  </sheetData>
  <mergeCells count="21">
    <mergeCell ref="C36:K42"/>
    <mergeCell ref="B16:B19"/>
    <mergeCell ref="B23:B27"/>
    <mergeCell ref="C22:E28"/>
    <mergeCell ref="G24:H26"/>
    <mergeCell ref="J24:K26"/>
    <mergeCell ref="C30:E31"/>
    <mergeCell ref="G30:H31"/>
    <mergeCell ref="J30:K31"/>
    <mergeCell ref="C13:E14"/>
    <mergeCell ref="G14:H14"/>
    <mergeCell ref="J14:K14"/>
    <mergeCell ref="C16:D20"/>
    <mergeCell ref="G17:H19"/>
    <mergeCell ref="J17:K19"/>
    <mergeCell ref="B2:C5"/>
    <mergeCell ref="G2:H5"/>
    <mergeCell ref="J2:K5"/>
    <mergeCell ref="E5:F5"/>
    <mergeCell ref="C8:E11"/>
    <mergeCell ref="G8:K11"/>
  </mergeCells>
  <printOptions horizontalCentered="1" verticalCentered="1"/>
  <pageMargins left="0.31496062992125984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B456-ED42-451C-A676-136079E92F36}">
  <dimension ref="B1:K42"/>
  <sheetViews>
    <sheetView showGridLines="0" view="pageBreakPreview" topLeftCell="A4" zoomScale="110" zoomScaleNormal="100" zoomScaleSheetLayoutView="110" workbookViewId="0">
      <selection activeCell="A36" sqref="A36:XFD36"/>
    </sheetView>
  </sheetViews>
  <sheetFormatPr baseColWidth="10" defaultRowHeight="14.4" x14ac:dyDescent="0.3"/>
  <cols>
    <col min="1" max="1" width="11.5546875" customWidth="1"/>
    <col min="2" max="2" width="19.109375" customWidth="1"/>
    <col min="6" max="6" width="13.5546875" customWidth="1"/>
    <col min="12" max="12" width="11.33203125" customWidth="1"/>
    <col min="13" max="13" width="11.5546875" customWidth="1"/>
  </cols>
  <sheetData>
    <row r="1" spans="2:11" ht="15" thickBot="1" x14ac:dyDescent="0.35"/>
    <row r="2" spans="2:11" x14ac:dyDescent="0.3">
      <c r="B2" s="141" t="s">
        <v>983</v>
      </c>
      <c r="C2" s="142"/>
      <c r="G2" s="143" t="s">
        <v>984</v>
      </c>
      <c r="H2" s="144"/>
      <c r="J2" s="145"/>
      <c r="K2" s="146"/>
    </row>
    <row r="3" spans="2:11" x14ac:dyDescent="0.3">
      <c r="B3" s="147"/>
      <c r="C3" s="148"/>
      <c r="G3" s="149"/>
      <c r="H3" s="150"/>
      <c r="J3" s="151"/>
      <c r="K3" s="152"/>
    </row>
    <row r="4" spans="2:11" x14ac:dyDescent="0.3">
      <c r="B4" s="147"/>
      <c r="C4" s="148"/>
      <c r="G4" s="149"/>
      <c r="H4" s="150"/>
      <c r="J4" s="151"/>
      <c r="K4" s="152"/>
    </row>
    <row r="5" spans="2:11" ht="16.2" thickBot="1" x14ac:dyDescent="0.35">
      <c r="B5" s="153"/>
      <c r="C5" s="154"/>
      <c r="E5" s="155" t="s">
        <v>985</v>
      </c>
      <c r="F5" s="155"/>
      <c r="G5" s="156"/>
      <c r="H5" s="157"/>
      <c r="J5" s="158"/>
      <c r="K5" s="159"/>
    </row>
    <row r="7" spans="2:11" ht="15" thickBot="1" x14ac:dyDescent="0.35"/>
    <row r="8" spans="2:11" x14ac:dyDescent="0.3">
      <c r="C8" s="160" t="e">
        <f>+IF(DATOS!H21="REGLAMENTO UE 573/2024",DATOS!H5,"NO ES UN GAS SUJETO")</f>
        <v>#N/A</v>
      </c>
      <c r="D8" s="161"/>
      <c r="E8" s="162"/>
      <c r="G8" s="163" t="e">
        <f>+IF(DATOS!H21="REGLAMENTO UE 573/2024", "CONTIENE GASES FLUORADOS DE EFECTO INVERNADERO, REGULADOS BAJO EL REGLAMENTO UE 573/2024", "NO SUJETO A LAS NORMAS DE ETIQUETADO DEL REGLAMENTO UE 573/2024")</f>
        <v>#N/A</v>
      </c>
      <c r="H8" s="164"/>
      <c r="I8" s="164"/>
      <c r="J8" s="164"/>
      <c r="K8" s="165"/>
    </row>
    <row r="9" spans="2:11" x14ac:dyDescent="0.3">
      <c r="C9" s="166"/>
      <c r="D9" s="167"/>
      <c r="E9" s="168"/>
      <c r="G9" s="169"/>
      <c r="H9" s="170"/>
      <c r="I9" s="170"/>
      <c r="J9" s="170"/>
      <c r="K9" s="171"/>
    </row>
    <row r="10" spans="2:11" x14ac:dyDescent="0.3">
      <c r="C10" s="166"/>
      <c r="D10" s="167"/>
      <c r="E10" s="168"/>
      <c r="G10" s="169"/>
      <c r="H10" s="170"/>
      <c r="I10" s="170"/>
      <c r="J10" s="170"/>
      <c r="K10" s="171"/>
    </row>
    <row r="11" spans="2:11" ht="15" thickBot="1" x14ac:dyDescent="0.35">
      <c r="C11" s="172"/>
      <c r="D11" s="173"/>
      <c r="E11" s="174"/>
      <c r="G11" s="175"/>
      <c r="H11" s="176"/>
      <c r="I11" s="176"/>
      <c r="J11" s="176"/>
      <c r="K11" s="177"/>
    </row>
    <row r="12" spans="2:11" x14ac:dyDescent="0.3">
      <c r="C12" s="178"/>
      <c r="D12" s="178"/>
      <c r="E12" s="178"/>
    </row>
    <row r="13" spans="2:11" ht="15" thickBot="1" x14ac:dyDescent="0.35">
      <c r="C13" s="179" t="str">
        <f>+IF(DATOS!H13="SÍ","EQUIPO SELLADO HERMÉTICAMENTE","EQUIPO NO SELLADO HERMÉTICAMENTE")</f>
        <v>EQUIPO NO SELLADO HERMÉTICAMENTE</v>
      </c>
      <c r="D13" s="179"/>
      <c r="E13" s="179"/>
    </row>
    <row r="14" spans="2:11" ht="21" customHeight="1" thickBot="1" x14ac:dyDescent="0.5">
      <c r="C14" s="179"/>
      <c r="D14" s="179"/>
      <c r="E14" s="179"/>
      <c r="G14" s="180" t="s">
        <v>986</v>
      </c>
      <c r="H14" s="181"/>
      <c r="J14" s="180" t="s">
        <v>987</v>
      </c>
      <c r="K14" s="181"/>
    </row>
    <row r="16" spans="2:11" ht="15" thickBot="1" x14ac:dyDescent="0.35">
      <c r="B16" s="224" t="s">
        <v>991</v>
      </c>
      <c r="C16" s="182"/>
      <c r="D16" s="182"/>
    </row>
    <row r="17" spans="2:11" ht="14.4" customHeight="1" x14ac:dyDescent="0.3">
      <c r="B17" s="224"/>
      <c r="C17" s="182"/>
      <c r="D17" s="182"/>
      <c r="G17" s="183" t="e">
        <f>+IF($C$8&lt;&gt;"NO ES UN GAS SUJETO",DATOS!H19,"-")</f>
        <v>#N/A</v>
      </c>
      <c r="H17" s="184"/>
      <c r="J17" s="183" t="e">
        <f>+IF($C$8&lt;&gt;"NO ES UN GAS SUJETO",DATOS!H19*10^-3*DATOS!J5,"-")</f>
        <v>#N/A</v>
      </c>
      <c r="K17" s="184"/>
    </row>
    <row r="18" spans="2:11" ht="14.4" customHeight="1" x14ac:dyDescent="0.3">
      <c r="B18" s="224"/>
      <c r="C18" s="182"/>
      <c r="D18" s="182"/>
      <c r="G18" s="185"/>
      <c r="H18" s="186"/>
      <c r="J18" s="185"/>
      <c r="K18" s="186"/>
    </row>
    <row r="19" spans="2:11" ht="15" customHeight="1" thickBot="1" x14ac:dyDescent="0.35">
      <c r="B19" s="224"/>
      <c r="C19" s="182"/>
      <c r="D19" s="182"/>
      <c r="G19" s="187"/>
      <c r="H19" s="188"/>
      <c r="J19" s="187"/>
      <c r="K19" s="188"/>
    </row>
    <row r="20" spans="2:11" ht="14.4" customHeight="1" x14ac:dyDescent="0.3">
      <c r="C20" s="182"/>
      <c r="D20" s="182"/>
    </row>
    <row r="22" spans="2:11" x14ac:dyDescent="0.3">
      <c r="C22" s="182"/>
      <c r="D22" s="182"/>
      <c r="E22" s="182"/>
    </row>
    <row r="23" spans="2:11" ht="15" thickBot="1" x14ac:dyDescent="0.35">
      <c r="B23" s="224" t="s">
        <v>992</v>
      </c>
      <c r="C23" s="182"/>
      <c r="D23" s="182"/>
      <c r="E23" s="182"/>
    </row>
    <row r="24" spans="2:11" ht="15" customHeight="1" x14ac:dyDescent="0.3">
      <c r="B24" s="224"/>
      <c r="C24" s="182"/>
      <c r="D24" s="182"/>
      <c r="E24" s="182"/>
      <c r="G24" s="183" t="e">
        <f>+IF($C$8&lt;&gt;"NO ES UN GAS SUJETO",DATOS!I19*10^-3*DATOS!J5,"-")</f>
        <v>#N/A</v>
      </c>
      <c r="H24" s="184"/>
      <c r="J24" s="183" t="e">
        <f>+IF($C$8&lt;&gt;"NO ES UN GAS SUJETO",DATOS!I19*10^-3*DATOS!J5,"-")</f>
        <v>#N/A</v>
      </c>
      <c r="K24" s="184"/>
    </row>
    <row r="25" spans="2:11" ht="15" customHeight="1" x14ac:dyDescent="0.3">
      <c r="B25" s="224"/>
      <c r="C25" s="182"/>
      <c r="D25" s="182"/>
      <c r="E25" s="182"/>
      <c r="G25" s="185"/>
      <c r="H25" s="186"/>
      <c r="J25" s="185"/>
      <c r="K25" s="186"/>
    </row>
    <row r="26" spans="2:11" ht="15.75" customHeight="1" thickBot="1" x14ac:dyDescent="0.35">
      <c r="B26" s="224"/>
      <c r="C26" s="182"/>
      <c r="D26" s="182"/>
      <c r="E26" s="182"/>
      <c r="G26" s="187"/>
      <c r="H26" s="188"/>
      <c r="J26" s="187"/>
      <c r="K26" s="188"/>
    </row>
    <row r="27" spans="2:11" x14ac:dyDescent="0.3">
      <c r="B27" s="224"/>
      <c r="C27" s="182"/>
      <c r="D27" s="182"/>
      <c r="E27" s="182"/>
    </row>
    <row r="28" spans="2:11" x14ac:dyDescent="0.3">
      <c r="C28" s="182"/>
      <c r="D28" s="182"/>
      <c r="E28" s="182"/>
    </row>
    <row r="29" spans="2:11" ht="15" thickBot="1" x14ac:dyDescent="0.35"/>
    <row r="30" spans="2:11" ht="15" customHeight="1" x14ac:dyDescent="0.3">
      <c r="C30" s="189" t="s">
        <v>988</v>
      </c>
      <c r="D30" s="190"/>
      <c r="E30" s="191"/>
      <c r="G30" s="183" t="e">
        <f>+IF(AND(G17="",G24=""),"",SUM(G17,G24))</f>
        <v>#N/A</v>
      </c>
      <c r="H30" s="184"/>
      <c r="J30" s="183" t="e">
        <f>IF(AND(J17="",J24=""),"",SUM(J17,J24))</f>
        <v>#N/A</v>
      </c>
      <c r="K30" s="184"/>
    </row>
    <row r="31" spans="2:11" ht="15.75" customHeight="1" thickBot="1" x14ac:dyDescent="0.35">
      <c r="C31" s="192"/>
      <c r="D31" s="193"/>
      <c r="E31" s="194"/>
      <c r="G31" s="187"/>
      <c r="H31" s="188"/>
      <c r="J31" s="187"/>
      <c r="K31" s="188"/>
    </row>
    <row r="32" spans="2:11" ht="15.75" customHeight="1" x14ac:dyDescent="0.3">
      <c r="C32" s="195"/>
      <c r="D32" s="195"/>
      <c r="E32" s="195"/>
      <c r="G32" s="196"/>
      <c r="H32" s="196"/>
      <c r="J32" s="196"/>
      <c r="K32" s="196"/>
    </row>
    <row r="33" spans="3:11" ht="15.75" customHeight="1" x14ac:dyDescent="0.3">
      <c r="C33" s="195"/>
      <c r="D33" s="195"/>
      <c r="E33" s="196"/>
      <c r="F33" s="196"/>
      <c r="G33" s="196"/>
      <c r="H33" s="196"/>
      <c r="I33" s="196"/>
      <c r="J33" s="196"/>
      <c r="K33" s="196"/>
    </row>
    <row r="34" spans="3:11" ht="15.75" customHeight="1" x14ac:dyDescent="0.3">
      <c r="C34" s="195"/>
      <c r="D34" s="195"/>
      <c r="E34" s="196"/>
      <c r="F34" s="196"/>
      <c r="G34" s="196"/>
      <c r="H34" s="196"/>
      <c r="I34" s="196"/>
      <c r="J34" s="196"/>
      <c r="K34" s="196"/>
    </row>
    <row r="35" spans="3:11" ht="15" thickBot="1" x14ac:dyDescent="0.35">
      <c r="C35" s="223" t="s">
        <v>990</v>
      </c>
      <c r="D35" s="223"/>
      <c r="E35" s="223"/>
      <c r="F35" s="223"/>
      <c r="G35" s="223"/>
      <c r="H35" s="223"/>
      <c r="I35" s="223"/>
      <c r="J35" s="223"/>
      <c r="K35" s="223"/>
    </row>
    <row r="36" spans="3:11" ht="14.4" customHeight="1" x14ac:dyDescent="0.3">
      <c r="C36" s="197"/>
      <c r="D36" s="198"/>
      <c r="E36" s="198"/>
      <c r="F36" s="198"/>
      <c r="G36" s="198"/>
      <c r="H36" s="198"/>
      <c r="I36" s="198"/>
      <c r="J36" s="198"/>
      <c r="K36" s="199"/>
    </row>
    <row r="37" spans="3:11" ht="14.4" customHeight="1" x14ac:dyDescent="0.3">
      <c r="C37" s="200"/>
      <c r="D37" s="201"/>
      <c r="E37" s="201"/>
      <c r="F37" s="201"/>
      <c r="G37" s="201"/>
      <c r="H37" s="201"/>
      <c r="I37" s="201"/>
      <c r="J37" s="201"/>
      <c r="K37" s="202"/>
    </row>
    <row r="38" spans="3:11" ht="18.600000000000001" customHeight="1" x14ac:dyDescent="0.3">
      <c r="C38" s="200"/>
      <c r="D38" s="201"/>
      <c r="E38" s="201"/>
      <c r="F38" s="201"/>
      <c r="G38" s="201"/>
      <c r="H38" s="201"/>
      <c r="I38" s="201"/>
      <c r="J38" s="201"/>
      <c r="K38" s="202"/>
    </row>
    <row r="39" spans="3:11" ht="24.6" customHeight="1" x14ac:dyDescent="0.3">
      <c r="C39" s="200"/>
      <c r="D39" s="201"/>
      <c r="E39" s="201"/>
      <c r="F39" s="201"/>
      <c r="G39" s="201"/>
      <c r="H39" s="201"/>
      <c r="I39" s="201"/>
      <c r="J39" s="201"/>
      <c r="K39" s="202"/>
    </row>
    <row r="40" spans="3:11" x14ac:dyDescent="0.3">
      <c r="C40" s="200"/>
      <c r="D40" s="201"/>
      <c r="E40" s="201"/>
      <c r="F40" s="201"/>
      <c r="G40" s="201"/>
      <c r="H40" s="201"/>
      <c r="I40" s="201"/>
      <c r="J40" s="201"/>
      <c r="K40" s="202"/>
    </row>
    <row r="41" spans="3:11" ht="29.4" customHeight="1" x14ac:dyDescent="0.3">
      <c r="C41" s="200"/>
      <c r="D41" s="201"/>
      <c r="E41" s="201"/>
      <c r="F41" s="201"/>
      <c r="G41" s="201"/>
      <c r="H41" s="201"/>
      <c r="I41" s="201"/>
      <c r="J41" s="201"/>
      <c r="K41" s="202"/>
    </row>
    <row r="42" spans="3:11" ht="30.6" customHeight="1" thickBot="1" x14ac:dyDescent="0.35">
      <c r="C42" s="203"/>
      <c r="D42" s="204"/>
      <c r="E42" s="204"/>
      <c r="F42" s="204"/>
      <c r="G42" s="204"/>
      <c r="H42" s="204"/>
      <c r="I42" s="204"/>
      <c r="J42" s="204"/>
      <c r="K42" s="205"/>
    </row>
  </sheetData>
  <mergeCells count="22">
    <mergeCell ref="C36:K42"/>
    <mergeCell ref="C35:K35"/>
    <mergeCell ref="B16:B19"/>
    <mergeCell ref="B23:B27"/>
    <mergeCell ref="C22:E28"/>
    <mergeCell ref="G24:H26"/>
    <mergeCell ref="J24:K26"/>
    <mergeCell ref="C30:E31"/>
    <mergeCell ref="G30:H31"/>
    <mergeCell ref="J30:K31"/>
    <mergeCell ref="C13:E14"/>
    <mergeCell ref="G14:H14"/>
    <mergeCell ref="J14:K14"/>
    <mergeCell ref="C16:D20"/>
    <mergeCell ref="G17:H19"/>
    <mergeCell ref="J17:K19"/>
    <mergeCell ref="B2:C5"/>
    <mergeCell ref="G2:H5"/>
    <mergeCell ref="J2:K5"/>
    <mergeCell ref="E5:F5"/>
    <mergeCell ref="C8:E11"/>
    <mergeCell ref="G8:K11"/>
  </mergeCells>
  <printOptions horizontalCentered="1" verticalCentered="1"/>
  <pageMargins left="0.31496062992125984" right="0.70866141732283472" top="0.74803149606299213" bottom="0.74803149606299213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7FD6-1CF4-4317-B0D8-3B04A86AD7DF}">
  <dimension ref="C4:K42"/>
  <sheetViews>
    <sheetView topLeftCell="B22" workbookViewId="0">
      <selection activeCell="C35" sqref="C35"/>
    </sheetView>
  </sheetViews>
  <sheetFormatPr baseColWidth="10" defaultRowHeight="14.4" x14ac:dyDescent="0.3"/>
  <cols>
    <col min="3" max="3" width="64.21875" customWidth="1"/>
    <col min="4" max="4" width="25.5546875" customWidth="1"/>
    <col min="5" max="8" width="14.77734375" customWidth="1"/>
  </cols>
  <sheetData>
    <row r="4" spans="3:11" x14ac:dyDescent="0.3">
      <c r="C4" t="s">
        <v>907</v>
      </c>
      <c r="D4" t="s">
        <v>908</v>
      </c>
      <c r="E4" t="s">
        <v>909</v>
      </c>
      <c r="F4" t="s">
        <v>910</v>
      </c>
      <c r="G4" t="s">
        <v>911</v>
      </c>
      <c r="H4" t="s">
        <v>912</v>
      </c>
      <c r="I4" t="s">
        <v>913</v>
      </c>
      <c r="K4" t="s">
        <v>914</v>
      </c>
    </row>
    <row r="5" spans="3:11" x14ac:dyDescent="0.3">
      <c r="C5" s="207" t="s">
        <v>915</v>
      </c>
      <c r="D5" s="27">
        <v>42005</v>
      </c>
      <c r="E5" s="28" t="s">
        <v>1</v>
      </c>
      <c r="F5" s="28">
        <v>150</v>
      </c>
      <c r="G5" s="28" t="s">
        <v>916</v>
      </c>
      <c r="H5" s="28" t="s">
        <v>917</v>
      </c>
      <c r="I5" t="s">
        <v>918</v>
      </c>
      <c r="K5" t="s">
        <v>919</v>
      </c>
    </row>
    <row r="6" spans="3:11" ht="28.8" x14ac:dyDescent="0.3">
      <c r="C6" s="206" t="s">
        <v>920</v>
      </c>
      <c r="D6" s="27">
        <v>46023</v>
      </c>
      <c r="E6" s="28" t="s">
        <v>921</v>
      </c>
      <c r="F6" s="28">
        <v>0</v>
      </c>
      <c r="G6" s="28">
        <v>150</v>
      </c>
      <c r="H6" s="28" t="s">
        <v>922</v>
      </c>
      <c r="I6" t="s">
        <v>923</v>
      </c>
      <c r="K6" t="s">
        <v>917</v>
      </c>
    </row>
    <row r="7" spans="3:11" x14ac:dyDescent="0.3">
      <c r="C7" s="207" t="s">
        <v>924</v>
      </c>
      <c r="D7" s="27">
        <v>43831</v>
      </c>
      <c r="E7" s="28" t="s">
        <v>1</v>
      </c>
      <c r="F7" s="28">
        <v>2500</v>
      </c>
      <c r="G7" s="28" t="s">
        <v>916</v>
      </c>
      <c r="H7" s="28" t="s">
        <v>917</v>
      </c>
    </row>
    <row r="8" spans="3:11" ht="28.8" x14ac:dyDescent="0.3">
      <c r="C8" s="207" t="s">
        <v>925</v>
      </c>
      <c r="D8" s="27">
        <v>44562</v>
      </c>
      <c r="E8" s="28" t="s">
        <v>1</v>
      </c>
      <c r="F8" s="28">
        <v>150</v>
      </c>
      <c r="G8" s="28" t="s">
        <v>916</v>
      </c>
      <c r="H8" s="28" t="s">
        <v>917</v>
      </c>
      <c r="I8" s="28" t="s">
        <v>926</v>
      </c>
    </row>
    <row r="9" spans="3:11" ht="28.8" x14ac:dyDescent="0.3">
      <c r="C9" s="207" t="s">
        <v>927</v>
      </c>
      <c r="D9" s="27">
        <v>45658</v>
      </c>
      <c r="E9" s="28" t="s">
        <v>921</v>
      </c>
      <c r="F9" s="28">
        <v>150</v>
      </c>
      <c r="G9" s="28" t="s">
        <v>916</v>
      </c>
      <c r="H9" s="28" t="s">
        <v>917</v>
      </c>
      <c r="I9" s="28" t="s">
        <v>928</v>
      </c>
    </row>
    <row r="10" spans="3:11" ht="43.2" x14ac:dyDescent="0.3">
      <c r="C10" s="206" t="s">
        <v>929</v>
      </c>
      <c r="D10" s="27">
        <v>45658</v>
      </c>
      <c r="E10" s="28" t="s">
        <v>921</v>
      </c>
      <c r="F10" s="28">
        <v>150</v>
      </c>
      <c r="G10" s="28" t="s">
        <v>916</v>
      </c>
      <c r="H10" s="28" t="s">
        <v>922</v>
      </c>
      <c r="I10" s="28" t="s">
        <v>930</v>
      </c>
    </row>
    <row r="11" spans="3:11" ht="28.8" x14ac:dyDescent="0.3">
      <c r="C11" s="206" t="s">
        <v>931</v>
      </c>
      <c r="D11" s="27">
        <v>43831</v>
      </c>
      <c r="E11" s="28" t="s">
        <v>1</v>
      </c>
      <c r="F11" s="28">
        <v>2500</v>
      </c>
      <c r="G11" s="28" t="s">
        <v>916</v>
      </c>
      <c r="H11" s="28" t="s">
        <v>926</v>
      </c>
      <c r="I11" s="28" t="s">
        <v>917</v>
      </c>
    </row>
    <row r="12" spans="3:11" ht="28.8" x14ac:dyDescent="0.3">
      <c r="C12" s="206" t="s">
        <v>932</v>
      </c>
      <c r="D12" s="27">
        <v>45658</v>
      </c>
      <c r="E12" s="28" t="s">
        <v>921</v>
      </c>
      <c r="F12" s="28">
        <v>2500</v>
      </c>
      <c r="G12" s="28" t="s">
        <v>916</v>
      </c>
      <c r="H12" s="28" t="s">
        <v>926</v>
      </c>
    </row>
    <row r="13" spans="3:11" ht="43.2" x14ac:dyDescent="0.3">
      <c r="C13" s="206" t="s">
        <v>933</v>
      </c>
      <c r="D13" s="27">
        <v>47484</v>
      </c>
      <c r="E13" s="28" t="s">
        <v>921</v>
      </c>
      <c r="F13" s="28">
        <v>150</v>
      </c>
      <c r="G13" s="28" t="s">
        <v>916</v>
      </c>
      <c r="H13" s="28" t="s">
        <v>922</v>
      </c>
    </row>
    <row r="14" spans="3:11" ht="28.8" x14ac:dyDescent="0.3">
      <c r="C14" s="206" t="s">
        <v>934</v>
      </c>
      <c r="D14" s="27">
        <v>44562</v>
      </c>
      <c r="E14" s="28" t="s">
        <v>173</v>
      </c>
      <c r="F14" s="28">
        <v>2500</v>
      </c>
      <c r="G14" s="28" t="s">
        <v>916</v>
      </c>
      <c r="H14" s="28" t="s">
        <v>917</v>
      </c>
    </row>
    <row r="15" spans="3:11" ht="43.2" x14ac:dyDescent="0.3">
      <c r="C15" s="206" t="s">
        <v>935</v>
      </c>
      <c r="D15" s="27">
        <v>44562</v>
      </c>
      <c r="E15" s="28" t="s">
        <v>173</v>
      </c>
      <c r="F15" s="28">
        <v>1500</v>
      </c>
      <c r="G15" s="28" t="s">
        <v>916</v>
      </c>
      <c r="H15" s="28" t="s">
        <v>917</v>
      </c>
    </row>
    <row r="16" spans="3:11" ht="28.8" x14ac:dyDescent="0.3">
      <c r="C16" s="206" t="s">
        <v>936</v>
      </c>
      <c r="D16" s="27">
        <v>43831</v>
      </c>
      <c r="E16" s="28" t="s">
        <v>1</v>
      </c>
      <c r="F16" s="28">
        <v>2500</v>
      </c>
      <c r="G16" s="28" t="s">
        <v>916</v>
      </c>
      <c r="H16" s="28" t="s">
        <v>926</v>
      </c>
    </row>
    <row r="17" spans="3:8" ht="28.8" x14ac:dyDescent="0.3">
      <c r="C17" s="206" t="s">
        <v>937</v>
      </c>
      <c r="D17" s="27">
        <v>46388</v>
      </c>
      <c r="E17" s="28" t="s">
        <v>921</v>
      </c>
      <c r="F17" s="28">
        <v>150</v>
      </c>
      <c r="G17" s="28" t="s">
        <v>916</v>
      </c>
      <c r="H17" s="28" t="s">
        <v>922</v>
      </c>
    </row>
    <row r="18" spans="3:8" ht="28.8" x14ac:dyDescent="0.3">
      <c r="C18" s="206" t="s">
        <v>938</v>
      </c>
      <c r="D18" s="27">
        <v>48214</v>
      </c>
      <c r="E18" s="28" t="s">
        <v>921</v>
      </c>
      <c r="F18" s="28">
        <v>0</v>
      </c>
      <c r="G18" s="28">
        <v>150</v>
      </c>
      <c r="H18" s="28" t="s">
        <v>922</v>
      </c>
    </row>
    <row r="19" spans="3:8" ht="28.8" x14ac:dyDescent="0.3">
      <c r="C19" s="206" t="s">
        <v>939</v>
      </c>
      <c r="D19" s="27">
        <v>46388</v>
      </c>
      <c r="E19" s="28" t="s">
        <v>921</v>
      </c>
      <c r="F19" s="28">
        <v>750</v>
      </c>
      <c r="G19" s="28" t="s">
        <v>916</v>
      </c>
      <c r="H19" s="28" t="s">
        <v>922</v>
      </c>
    </row>
    <row r="20" spans="3:8" ht="28.8" x14ac:dyDescent="0.3">
      <c r="C20" s="206" t="s">
        <v>940</v>
      </c>
      <c r="D20" s="27">
        <v>43831</v>
      </c>
      <c r="E20" s="28" t="s">
        <v>1</v>
      </c>
      <c r="F20" s="28">
        <v>150</v>
      </c>
      <c r="G20" s="28" t="s">
        <v>916</v>
      </c>
      <c r="H20" s="28" t="s">
        <v>917</v>
      </c>
    </row>
    <row r="21" spans="3:8" ht="57.6" x14ac:dyDescent="0.3">
      <c r="C21" s="206" t="s">
        <v>941</v>
      </c>
      <c r="D21" s="27">
        <v>46388</v>
      </c>
      <c r="E21" s="28" t="s">
        <v>921</v>
      </c>
      <c r="F21" s="29">
        <v>150</v>
      </c>
      <c r="G21" s="28">
        <v>750</v>
      </c>
      <c r="H21" s="29" t="s">
        <v>922</v>
      </c>
    </row>
    <row r="22" spans="3:8" ht="43.2" x14ac:dyDescent="0.3">
      <c r="C22" s="206" t="s">
        <v>942</v>
      </c>
      <c r="D22" s="27">
        <v>48214</v>
      </c>
      <c r="E22" s="28" t="s">
        <v>921</v>
      </c>
      <c r="F22" s="29">
        <v>0</v>
      </c>
      <c r="G22" s="28">
        <v>750</v>
      </c>
      <c r="H22" s="29" t="s">
        <v>922</v>
      </c>
    </row>
    <row r="23" spans="3:8" ht="43.2" x14ac:dyDescent="0.3">
      <c r="C23" s="206" t="s">
        <v>943</v>
      </c>
      <c r="D23" s="27">
        <v>46388</v>
      </c>
      <c r="E23" s="28" t="s">
        <v>921</v>
      </c>
      <c r="F23" s="29">
        <v>150</v>
      </c>
      <c r="G23" s="28">
        <v>750</v>
      </c>
      <c r="H23" s="29" t="s">
        <v>922</v>
      </c>
    </row>
    <row r="24" spans="3:8" ht="43.2" x14ac:dyDescent="0.3">
      <c r="C24" s="206" t="s">
        <v>944</v>
      </c>
      <c r="D24" s="27">
        <v>47484</v>
      </c>
      <c r="E24" s="28" t="s">
        <v>921</v>
      </c>
      <c r="F24" s="29">
        <v>150</v>
      </c>
      <c r="G24" s="28">
        <v>750</v>
      </c>
      <c r="H24" s="29" t="s">
        <v>922</v>
      </c>
    </row>
    <row r="25" spans="3:8" ht="28.8" x14ac:dyDescent="0.3">
      <c r="C25" s="206" t="s">
        <v>945</v>
      </c>
      <c r="D25" s="27">
        <v>45658</v>
      </c>
      <c r="E25" s="28" t="s">
        <v>173</v>
      </c>
      <c r="F25" s="28">
        <v>750</v>
      </c>
      <c r="G25" s="28" t="s">
        <v>916</v>
      </c>
      <c r="H25" s="28" t="s">
        <v>917</v>
      </c>
    </row>
    <row r="26" spans="3:8" ht="43.2" x14ac:dyDescent="0.3">
      <c r="C26" s="208" t="s">
        <v>946</v>
      </c>
      <c r="D26" s="27">
        <v>46388</v>
      </c>
      <c r="E26" s="28" t="s">
        <v>921</v>
      </c>
      <c r="F26" s="28">
        <v>150</v>
      </c>
      <c r="G26" s="28" t="s">
        <v>916</v>
      </c>
      <c r="H26" s="28" t="s">
        <v>922</v>
      </c>
    </row>
    <row r="27" spans="3:8" ht="28.8" x14ac:dyDescent="0.3">
      <c r="C27" s="206" t="s">
        <v>947</v>
      </c>
      <c r="D27" s="27">
        <v>47119</v>
      </c>
      <c r="E27" s="28" t="s">
        <v>921</v>
      </c>
      <c r="F27" s="28">
        <v>150</v>
      </c>
      <c r="G27" s="28" t="s">
        <v>916</v>
      </c>
      <c r="H27" s="28" t="s">
        <v>922</v>
      </c>
    </row>
    <row r="28" spans="3:8" ht="43.2" x14ac:dyDescent="0.3">
      <c r="C28" s="206" t="s">
        <v>948</v>
      </c>
      <c r="D28" s="27">
        <v>49310</v>
      </c>
      <c r="E28" s="28" t="s">
        <v>921</v>
      </c>
      <c r="F28" s="28">
        <v>0</v>
      </c>
      <c r="G28" s="28">
        <v>150</v>
      </c>
      <c r="H28" s="28" t="s">
        <v>922</v>
      </c>
    </row>
    <row r="29" spans="3:8" ht="43.2" x14ac:dyDescent="0.3">
      <c r="C29" s="206" t="s">
        <v>949</v>
      </c>
      <c r="D29" s="27">
        <v>47119</v>
      </c>
      <c r="E29" s="28" t="s">
        <v>921</v>
      </c>
      <c r="F29" s="28">
        <v>750</v>
      </c>
      <c r="G29" s="28" t="s">
        <v>916</v>
      </c>
      <c r="H29" s="28" t="s">
        <v>922</v>
      </c>
    </row>
    <row r="30" spans="3:8" ht="28.8" x14ac:dyDescent="0.3">
      <c r="C30" s="206" t="s">
        <v>950</v>
      </c>
      <c r="D30" s="27">
        <v>48580</v>
      </c>
      <c r="E30" s="28" t="s">
        <v>921</v>
      </c>
      <c r="F30" s="28">
        <v>150</v>
      </c>
      <c r="G30" s="28" t="s">
        <v>916</v>
      </c>
      <c r="H30" s="28" t="s">
        <v>922</v>
      </c>
    </row>
    <row r="31" spans="3:8" x14ac:dyDescent="0.3">
      <c r="C31" s="12"/>
    </row>
    <row r="32" spans="3:8" x14ac:dyDescent="0.3">
      <c r="C32" s="12"/>
    </row>
    <row r="33" spans="3:9" x14ac:dyDescent="0.3">
      <c r="C33" s="12"/>
    </row>
    <row r="34" spans="3:9" x14ac:dyDescent="0.3">
      <c r="C34" s="12"/>
    </row>
    <row r="35" spans="3:9" ht="23.4" customHeight="1" x14ac:dyDescent="0.3">
      <c r="C35" s="222" t="s">
        <v>989</v>
      </c>
      <c r="D35" s="221"/>
      <c r="E35" s="221"/>
      <c r="F35" s="221"/>
      <c r="G35" s="221"/>
      <c r="H35" s="221"/>
      <c r="I35" s="221"/>
    </row>
    <row r="36" spans="3:9" ht="14.4" customHeight="1" x14ac:dyDescent="0.3">
      <c r="C36" s="221"/>
      <c r="D36" s="221"/>
      <c r="E36" s="221"/>
      <c r="F36" s="221"/>
      <c r="G36" s="221"/>
      <c r="H36" s="221"/>
      <c r="I36" s="221"/>
    </row>
    <row r="37" spans="3:9" ht="14.4" customHeight="1" x14ac:dyDescent="0.3">
      <c r="C37" s="221"/>
      <c r="D37" s="221"/>
      <c r="E37" s="221"/>
      <c r="F37" s="221"/>
      <c r="G37" s="221"/>
      <c r="H37" s="221"/>
      <c r="I37" s="221"/>
    </row>
    <row r="38" spans="3:9" ht="14.4" customHeight="1" x14ac:dyDescent="0.3">
      <c r="C38" s="221"/>
      <c r="D38" s="221"/>
      <c r="E38" s="221"/>
      <c r="F38" s="221"/>
      <c r="G38" s="221"/>
      <c r="H38" s="221"/>
      <c r="I38" s="221"/>
    </row>
    <row r="39" spans="3:9" ht="14.4" customHeight="1" x14ac:dyDescent="0.3">
      <c r="C39" s="221"/>
      <c r="D39" s="221"/>
      <c r="E39" s="221"/>
      <c r="F39" s="221"/>
      <c r="G39" s="221"/>
      <c r="H39" s="221"/>
      <c r="I39" s="221"/>
    </row>
    <row r="40" spans="3:9" ht="14.4" customHeight="1" x14ac:dyDescent="0.3">
      <c r="C40" s="221"/>
      <c r="D40" s="221"/>
      <c r="E40" s="221"/>
      <c r="F40" s="221"/>
      <c r="G40" s="221"/>
      <c r="H40" s="221"/>
      <c r="I40" s="221"/>
    </row>
    <row r="41" spans="3:9" ht="14.4" customHeight="1" x14ac:dyDescent="0.3">
      <c r="C41" s="221"/>
      <c r="D41" s="221"/>
      <c r="E41" s="221"/>
      <c r="F41" s="221"/>
      <c r="G41" s="221"/>
      <c r="H41" s="221"/>
      <c r="I41" s="221"/>
    </row>
    <row r="42" spans="3:9" ht="14.4" customHeight="1" x14ac:dyDescent="0.3">
      <c r="C42" s="221"/>
      <c r="D42" s="221"/>
      <c r="E42" s="221"/>
      <c r="F42" s="221"/>
      <c r="G42" s="221"/>
      <c r="H42" s="221"/>
      <c r="I42" s="221"/>
    </row>
  </sheetData>
  <hyperlinks>
    <hyperlink ref="C24" r:id="rId1" location="page=55" xr:uid="{CF7C014C-AB50-40A3-903D-B940BBEA12A0}"/>
    <hyperlink ref="C23" r:id="rId2" location="page=55" xr:uid="{031F62F1-C803-4C9F-8363-27A90DF03EA9}"/>
    <hyperlink ref="C22" r:id="rId3" location="page=55" xr:uid="{092A0EF2-0419-4416-A433-A9CC98BBB037}"/>
    <hyperlink ref="C21" r:id="rId4" location="page=55" xr:uid="{42EB666E-6BBC-4168-915E-6DA7FDB10E91}"/>
    <hyperlink ref="C20" r:id="rId5" location="page=55" xr:uid="{CA9002B6-B6E5-4158-A186-50958A0902CC}"/>
    <hyperlink ref="C5" r:id="rId6" location="page=54" xr:uid="{B16F0CD3-2B70-45DF-B7E4-E885F1A398C4}"/>
    <hyperlink ref="C6" r:id="rId7" location="page=54" xr:uid="{01261E50-54E2-4856-AA36-000B6C31C263}"/>
    <hyperlink ref="C7" r:id="rId8" location="page=54" xr:uid="{6778BF37-4898-4278-998A-8D0F5A24DF67}"/>
    <hyperlink ref="C8" r:id="rId9" location="page=54" xr:uid="{4348C2C3-A1EB-4B57-9FD3-367F6C484DFB}"/>
    <hyperlink ref="C15" r:id="rId10" location="page=54" xr:uid="{CF84D980-1411-4C85-B79D-EB182A5D4740}"/>
    <hyperlink ref="C14" r:id="rId11" location="page=54" xr:uid="{62A5C7A9-75B8-4B4C-8499-43D4FA2AB21B}"/>
    <hyperlink ref="C13" r:id="rId12" location="page=54" xr:uid="{2A8033B6-1C0E-4940-ABF8-9005E7AD1159}"/>
    <hyperlink ref="C12" r:id="rId13" location="page=54" xr:uid="{EA25F0FB-220E-46D1-B8BB-C012F4D4F6EF}"/>
    <hyperlink ref="C11" r:id="rId14" location="page=54" xr:uid="{E92BA641-FED6-4AD6-88D2-9FE622B214C2}"/>
    <hyperlink ref="C10" r:id="rId15" location="page=54" xr:uid="{D36278C7-4AC3-481A-932E-46D75589BD57}"/>
    <hyperlink ref="C9" r:id="rId16" location="page=54" xr:uid="{C6001FA5-42A9-45BC-B920-3BAE8EC04E5E}"/>
    <hyperlink ref="C19" r:id="rId17" location="page=55" xr:uid="{7F9294A5-9FFE-4412-86B8-43B661ABEF9D}"/>
    <hyperlink ref="C18" r:id="rId18" location="page=55" xr:uid="{26F67F7F-A6E0-428A-8D0C-B2E9FE9EF9BE}"/>
    <hyperlink ref="C17" r:id="rId19" location="page=55" xr:uid="{261BAF4B-17B1-4A16-A668-144934BD7560}"/>
    <hyperlink ref="C16" r:id="rId20" location="page=55" xr:uid="{9ED617EB-E12A-461F-AFC2-0B5387CA170E}"/>
    <hyperlink ref="C25" r:id="rId21" location="page=56" xr:uid="{36EA39D7-146B-41D7-9BE6-2F678D23DA5B}"/>
    <hyperlink ref="C26" r:id="rId22" location="page=56" xr:uid="{CBC93861-37A7-41AC-9A69-F433FF2C9710}"/>
    <hyperlink ref="C27" r:id="rId23" location="page=56" xr:uid="{C9D8B4B1-C9DD-4E88-A2D2-CDABF9EA1A77}"/>
    <hyperlink ref="C28" r:id="rId24" location="page=56" xr:uid="{A4ED9E56-9A0B-4ECC-BF24-3D42E1065FBE}"/>
    <hyperlink ref="C29" r:id="rId25" location="page=56" xr:uid="{93264BE6-DE02-46A4-BA27-2AE2C5745045}"/>
    <hyperlink ref="C30" r:id="rId26" location="page=56" xr:uid="{DDB2CF47-7397-43BE-AB5B-6635E433918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CC5A-3894-4386-BAC8-BF5C6A36ADA5}">
  <dimension ref="D2:AN718"/>
  <sheetViews>
    <sheetView topLeftCell="A145" zoomScale="130" zoomScaleNormal="130" workbookViewId="0">
      <selection activeCell="N116" sqref="N116"/>
    </sheetView>
  </sheetViews>
  <sheetFormatPr baseColWidth="10" defaultColWidth="8.88671875" defaultRowHeight="14.4" x14ac:dyDescent="0.3"/>
  <cols>
    <col min="3" max="3" width="20.44140625" customWidth="1"/>
    <col min="7" max="7" width="16.5546875" customWidth="1"/>
    <col min="8" max="8" width="13.44140625" customWidth="1"/>
    <col min="9" max="13" width="8.88671875" customWidth="1"/>
    <col min="14" max="14" width="13.33203125" customWidth="1"/>
    <col min="15" max="15" width="13.6640625" customWidth="1"/>
    <col min="16" max="18" width="8.88671875" customWidth="1"/>
    <col min="19" max="19" width="9.77734375" customWidth="1"/>
    <col min="20" max="20" width="8.88671875" customWidth="1"/>
    <col min="21" max="21" width="13.109375" customWidth="1"/>
    <col min="22" max="22" width="11.44140625" bestFit="1" customWidth="1"/>
    <col min="23" max="23" width="10.44140625" bestFit="1" customWidth="1"/>
    <col min="27" max="27" width="8.88671875" style="1"/>
  </cols>
  <sheetData>
    <row r="2" spans="4:40" x14ac:dyDescent="0.3"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4:40" x14ac:dyDescent="0.3">
      <c r="G3" t="s">
        <v>906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4:40" x14ac:dyDescent="0.3">
      <c r="G4" t="s">
        <v>905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4:40" ht="15" thickBot="1" x14ac:dyDescent="0.35"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4:40" ht="66" customHeight="1" x14ac:dyDescent="0.3">
      <c r="D6" s="26" t="s">
        <v>904</v>
      </c>
      <c r="E6" s="25"/>
      <c r="F6" s="22" t="s">
        <v>903</v>
      </c>
      <c r="G6" s="22" t="s">
        <v>902</v>
      </c>
      <c r="H6" s="22" t="s">
        <v>901</v>
      </c>
      <c r="I6" s="22" t="s">
        <v>900</v>
      </c>
      <c r="J6" s="22" t="s">
        <v>899</v>
      </c>
      <c r="K6" s="22" t="s">
        <v>898</v>
      </c>
      <c r="L6" s="22" t="s">
        <v>897</v>
      </c>
      <c r="M6" s="22" t="s">
        <v>896</v>
      </c>
      <c r="N6" s="26" t="s">
        <v>895</v>
      </c>
      <c r="O6" s="25"/>
      <c r="P6" s="22" t="s">
        <v>894</v>
      </c>
      <c r="Q6" s="22" t="s">
        <v>893</v>
      </c>
      <c r="R6" s="22" t="s">
        <v>892</v>
      </c>
      <c r="S6" s="22" t="s">
        <v>891</v>
      </c>
      <c r="T6" s="22" t="s">
        <v>890</v>
      </c>
      <c r="U6" s="21" t="s">
        <v>889</v>
      </c>
      <c r="V6" s="22" t="s">
        <v>888</v>
      </c>
      <c r="W6" s="22" t="s">
        <v>887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4:40" ht="15" thickBot="1" x14ac:dyDescent="0.35">
      <c r="D7" s="24"/>
      <c r="E7" s="23"/>
      <c r="F7" s="19"/>
      <c r="G7" s="19"/>
      <c r="H7" s="19"/>
      <c r="I7" s="19"/>
      <c r="J7" s="19"/>
      <c r="K7" s="19"/>
      <c r="L7" s="19"/>
      <c r="M7" s="19"/>
      <c r="N7" s="24"/>
      <c r="O7" s="23"/>
      <c r="P7" s="19"/>
      <c r="Q7" s="19"/>
      <c r="R7" s="19"/>
      <c r="S7" s="19"/>
      <c r="T7" s="19"/>
      <c r="U7" s="20"/>
      <c r="V7" s="19"/>
      <c r="W7" s="19"/>
    </row>
    <row r="8" spans="4:40" ht="26.4" customHeight="1" x14ac:dyDescent="0.3">
      <c r="D8" s="22" t="s">
        <v>886</v>
      </c>
      <c r="E8" s="22" t="s">
        <v>885</v>
      </c>
      <c r="F8" s="19"/>
      <c r="G8" s="19"/>
      <c r="H8" s="19"/>
      <c r="I8" s="19"/>
      <c r="J8" s="19"/>
      <c r="K8" s="19"/>
      <c r="L8" s="19"/>
      <c r="M8" s="19"/>
      <c r="N8" s="22" t="s">
        <v>884</v>
      </c>
      <c r="O8" s="21" t="s">
        <v>883</v>
      </c>
      <c r="P8" s="19"/>
      <c r="Q8" s="19"/>
      <c r="R8" s="19"/>
      <c r="S8" s="19"/>
      <c r="T8" s="19"/>
      <c r="U8" s="20"/>
      <c r="V8" s="19"/>
      <c r="W8" s="19"/>
    </row>
    <row r="9" spans="4:40" ht="27" thickBot="1" x14ac:dyDescent="0.35">
      <c r="D9" s="16"/>
      <c r="E9" s="16"/>
      <c r="F9" s="18" t="s">
        <v>882</v>
      </c>
      <c r="G9" s="16"/>
      <c r="H9" s="16"/>
      <c r="I9" s="16"/>
      <c r="J9" s="16"/>
      <c r="K9" s="16"/>
      <c r="L9" s="16"/>
      <c r="M9" s="16"/>
      <c r="N9" s="16"/>
      <c r="O9" s="17" t="s">
        <v>881</v>
      </c>
      <c r="P9" s="16"/>
      <c r="Q9" s="16"/>
      <c r="R9" s="16"/>
      <c r="S9" s="16"/>
      <c r="T9" s="16"/>
      <c r="U9" s="17"/>
      <c r="V9" s="16"/>
      <c r="W9" s="16"/>
    </row>
    <row r="10" spans="4:40" ht="66.599999999999994" thickBot="1" x14ac:dyDescent="0.35">
      <c r="D10" s="7">
        <v>1</v>
      </c>
      <c r="E10" s="7" t="s">
        <v>686</v>
      </c>
      <c r="F10" s="8" t="s">
        <v>880</v>
      </c>
      <c r="G10" s="8" t="s">
        <v>879</v>
      </c>
      <c r="H10" s="8" t="s">
        <v>878</v>
      </c>
      <c r="I10" s="7" t="s">
        <v>877</v>
      </c>
      <c r="J10" s="7" t="s">
        <v>876</v>
      </c>
      <c r="K10" s="7" t="s">
        <v>673</v>
      </c>
      <c r="L10" s="7">
        <v>24</v>
      </c>
      <c r="M10" s="7" t="s">
        <v>875</v>
      </c>
      <c r="N10" s="7" t="s">
        <v>3</v>
      </c>
      <c r="O10" s="7" t="s">
        <v>124</v>
      </c>
      <c r="P10" s="7">
        <v>4750</v>
      </c>
      <c r="Q10" s="7">
        <v>1</v>
      </c>
      <c r="R10" s="7">
        <v>2</v>
      </c>
      <c r="S10" s="4" t="s">
        <v>110</v>
      </c>
      <c r="T10" s="4" t="str">
        <f>+MID(H10,FIND("(",H10),LEN(H10)-FIND("(",H10)+1)</f>
        <v>(10)</v>
      </c>
      <c r="U10" s="4" t="s">
        <v>109</v>
      </c>
      <c r="V10" s="6">
        <f>40000*1/P10</f>
        <v>8.4210526315789469</v>
      </c>
      <c r="W10" s="6">
        <f>5000/P10</f>
        <v>1.0526315789473684</v>
      </c>
    </row>
    <row r="11" spans="4:40" ht="66.599999999999994" thickBot="1" x14ac:dyDescent="0.35">
      <c r="D11" s="7">
        <v>1</v>
      </c>
      <c r="E11" s="7" t="s">
        <v>686</v>
      </c>
      <c r="F11" s="8" t="s">
        <v>874</v>
      </c>
      <c r="G11" s="8" t="s">
        <v>873</v>
      </c>
      <c r="H11" s="8" t="s">
        <v>872</v>
      </c>
      <c r="I11" s="7" t="s">
        <v>871</v>
      </c>
      <c r="J11" s="7" t="s">
        <v>870</v>
      </c>
      <c r="K11" s="7" t="s">
        <v>856</v>
      </c>
      <c r="L11" s="7" t="s">
        <v>869</v>
      </c>
      <c r="M11" s="7" t="s">
        <v>868</v>
      </c>
      <c r="N11" s="7" t="s">
        <v>3</v>
      </c>
      <c r="O11" s="7" t="s">
        <v>124</v>
      </c>
      <c r="P11" s="7">
        <v>10900</v>
      </c>
      <c r="Q11" s="7">
        <v>1</v>
      </c>
      <c r="R11" s="7">
        <v>2</v>
      </c>
      <c r="S11" s="4" t="s">
        <v>110</v>
      </c>
      <c r="T11" s="4" t="str">
        <f>+MID(H11,FIND("(",H11),LEN(H11)-FIND("(",H11)+1)</f>
        <v>(10)</v>
      </c>
      <c r="U11" s="4" t="s">
        <v>109</v>
      </c>
      <c r="V11" s="6">
        <f>40000*1/P11</f>
        <v>3.669724770642202</v>
      </c>
      <c r="W11" s="6">
        <f>5000/P11</f>
        <v>0.45871559633027525</v>
      </c>
    </row>
    <row r="12" spans="4:40" ht="66.599999999999994" thickBot="1" x14ac:dyDescent="0.35">
      <c r="D12" s="7">
        <v>1</v>
      </c>
      <c r="E12" s="7" t="s">
        <v>686</v>
      </c>
      <c r="F12" s="8" t="s">
        <v>867</v>
      </c>
      <c r="G12" s="8" t="s">
        <v>866</v>
      </c>
      <c r="H12" s="8" t="s">
        <v>865</v>
      </c>
      <c r="I12" s="7" t="s">
        <v>864</v>
      </c>
      <c r="J12" s="7" t="s">
        <v>863</v>
      </c>
      <c r="K12" s="7" t="s">
        <v>702</v>
      </c>
      <c r="L12" s="7" t="s">
        <v>862</v>
      </c>
      <c r="M12" s="7" t="s">
        <v>3</v>
      </c>
      <c r="N12" s="7" t="s">
        <v>3</v>
      </c>
      <c r="O12" s="7" t="s">
        <v>124</v>
      </c>
      <c r="P12" s="7">
        <v>1890</v>
      </c>
      <c r="Q12" s="7">
        <v>3</v>
      </c>
      <c r="R12" s="7">
        <v>2</v>
      </c>
      <c r="S12" s="4" t="s">
        <v>110</v>
      </c>
      <c r="T12" s="4" t="str">
        <f>+MID(H12,FIND("(",H12),LEN(H12)-FIND("(",H12)+1)</f>
        <v>(10)</v>
      </c>
      <c r="U12" s="4" t="s">
        <v>109</v>
      </c>
      <c r="V12" s="6">
        <f>40000*1/P12</f>
        <v>21.164021164021165</v>
      </c>
      <c r="W12" s="6">
        <f>5000/P12</f>
        <v>2.6455026455026456</v>
      </c>
    </row>
    <row r="13" spans="4:40" ht="66.599999999999994" thickBot="1" x14ac:dyDescent="0.35">
      <c r="D13" s="7">
        <v>1</v>
      </c>
      <c r="E13" s="7" t="s">
        <v>686</v>
      </c>
      <c r="F13" s="8" t="s">
        <v>861</v>
      </c>
      <c r="G13" s="8" t="s">
        <v>860</v>
      </c>
      <c r="H13" s="8" t="s">
        <v>859</v>
      </c>
      <c r="I13" s="7" t="s">
        <v>858</v>
      </c>
      <c r="J13" s="7" t="s">
        <v>857</v>
      </c>
      <c r="K13" s="7" t="s">
        <v>856</v>
      </c>
      <c r="L13" s="7" t="s">
        <v>855</v>
      </c>
      <c r="M13" s="7" t="s">
        <v>3</v>
      </c>
      <c r="N13" s="7" t="s">
        <v>3</v>
      </c>
      <c r="O13" s="7" t="s">
        <v>124</v>
      </c>
      <c r="P13" s="7">
        <v>14400</v>
      </c>
      <c r="Q13" s="7">
        <v>1</v>
      </c>
      <c r="R13" s="7">
        <v>2</v>
      </c>
      <c r="S13" s="4" t="s">
        <v>110</v>
      </c>
      <c r="T13" s="4" t="str">
        <f>+MID(H13,FIND("(",H13),LEN(H13)-FIND("(",H13)+1)</f>
        <v>(10)</v>
      </c>
      <c r="U13" s="4" t="s">
        <v>109</v>
      </c>
      <c r="V13" s="6">
        <f>40000*1/P13</f>
        <v>2.7777777777777777</v>
      </c>
      <c r="W13" s="6">
        <f>5000/P13</f>
        <v>0.34722222222222221</v>
      </c>
    </row>
    <row r="14" spans="4:40" ht="66.599999999999994" thickBot="1" x14ac:dyDescent="0.35">
      <c r="D14" s="7">
        <v>1</v>
      </c>
      <c r="E14" s="7" t="s">
        <v>686</v>
      </c>
      <c r="F14" s="8" t="s">
        <v>854</v>
      </c>
      <c r="G14" s="8" t="s">
        <v>853</v>
      </c>
      <c r="H14" s="8" t="s">
        <v>852</v>
      </c>
      <c r="I14" s="7" t="s">
        <v>851</v>
      </c>
      <c r="J14" s="7" t="s">
        <v>850</v>
      </c>
      <c r="K14" s="7" t="s">
        <v>849</v>
      </c>
      <c r="L14" s="7" t="s">
        <v>848</v>
      </c>
      <c r="M14" s="7" t="s">
        <v>3</v>
      </c>
      <c r="N14" s="7" t="s">
        <v>3</v>
      </c>
      <c r="O14" s="7" t="s">
        <v>124</v>
      </c>
      <c r="P14" s="7">
        <v>7140</v>
      </c>
      <c r="Q14" s="7">
        <v>10</v>
      </c>
      <c r="R14" s="7">
        <v>2</v>
      </c>
      <c r="S14" s="4" t="s">
        <v>110</v>
      </c>
      <c r="T14" s="4" t="str">
        <f>+MID(H14,FIND("(",H14),LEN(H14)-FIND("(",H14)+1)</f>
        <v>(10)</v>
      </c>
      <c r="U14" s="4" t="s">
        <v>109</v>
      </c>
      <c r="V14" s="6">
        <f>40000*1/P14</f>
        <v>5.6022408963585431</v>
      </c>
      <c r="W14" s="6">
        <f>5000/P14</f>
        <v>0.70028011204481788</v>
      </c>
    </row>
    <row r="15" spans="4:40" ht="15" thickBot="1" x14ac:dyDescent="0.35">
      <c r="D15" s="7">
        <v>1</v>
      </c>
      <c r="E15" s="7" t="s">
        <v>686</v>
      </c>
      <c r="F15" s="8" t="s">
        <v>847</v>
      </c>
      <c r="G15" s="8" t="s">
        <v>846</v>
      </c>
      <c r="H15" s="8" t="s">
        <v>845</v>
      </c>
      <c r="I15" s="7" t="s">
        <v>844</v>
      </c>
      <c r="J15" s="7" t="s">
        <v>843</v>
      </c>
      <c r="K15" s="7" t="s">
        <v>745</v>
      </c>
      <c r="L15" s="7" t="s">
        <v>842</v>
      </c>
      <c r="M15" s="7" t="s">
        <v>600</v>
      </c>
      <c r="N15" s="7" t="s">
        <v>3</v>
      </c>
      <c r="O15" s="7" t="s">
        <v>124</v>
      </c>
      <c r="P15" s="7">
        <v>7390</v>
      </c>
      <c r="Q15" s="7">
        <v>0</v>
      </c>
      <c r="R15" s="7">
        <v>2</v>
      </c>
      <c r="S15" s="4" t="s">
        <v>2</v>
      </c>
      <c r="T15" s="4" t="str">
        <f>+MID(H15,FIND("(",H15),LEN(H15)-FIND("(",H15)+1)</f>
        <v>(11)</v>
      </c>
      <c r="U15" s="4" t="s">
        <v>751</v>
      </c>
      <c r="V15" s="6">
        <f>40000*1/P15</f>
        <v>5.4127198917456019</v>
      </c>
      <c r="W15" s="6">
        <f>5000/P15</f>
        <v>0.67658998646820023</v>
      </c>
    </row>
    <row r="16" spans="4:40" ht="66.599999999999994" thickBot="1" x14ac:dyDescent="0.35">
      <c r="D16" s="7">
        <v>1</v>
      </c>
      <c r="E16" s="7" t="s">
        <v>686</v>
      </c>
      <c r="F16" s="8" t="s">
        <v>841</v>
      </c>
      <c r="G16" s="8" t="s">
        <v>840</v>
      </c>
      <c r="H16" s="8" t="s">
        <v>839</v>
      </c>
      <c r="I16" s="7" t="s">
        <v>838</v>
      </c>
      <c r="J16" s="7" t="s">
        <v>837</v>
      </c>
      <c r="K16" s="7" t="s">
        <v>673</v>
      </c>
      <c r="L16" s="7" t="s">
        <v>836</v>
      </c>
      <c r="M16" s="7">
        <v>0.21</v>
      </c>
      <c r="N16" s="7">
        <v>635</v>
      </c>
      <c r="O16" s="7" t="s">
        <v>124</v>
      </c>
      <c r="P16" s="7">
        <v>1810</v>
      </c>
      <c r="Q16" s="7">
        <v>5.5E-2</v>
      </c>
      <c r="R16" s="7">
        <v>2</v>
      </c>
      <c r="S16" s="4" t="s">
        <v>110</v>
      </c>
      <c r="T16" s="4" t="str">
        <f>+MID(H16,FIND("(",H16),LEN(H16)-FIND("(",H16)+1)</f>
        <v>(10)</v>
      </c>
      <c r="U16" s="4" t="s">
        <v>109</v>
      </c>
      <c r="V16" s="6">
        <f>40000*1/P16</f>
        <v>22.099447513812155</v>
      </c>
      <c r="W16" s="6">
        <f>5000/P16</f>
        <v>2.7624309392265194</v>
      </c>
      <c r="AA16" s="1" t="s">
        <v>835</v>
      </c>
    </row>
    <row r="17" spans="4:40" ht="15" thickBot="1" x14ac:dyDescent="0.35">
      <c r="D17" s="7">
        <v>1</v>
      </c>
      <c r="E17" s="7" t="s">
        <v>686</v>
      </c>
      <c r="F17" s="8" t="s">
        <v>835</v>
      </c>
      <c r="G17" s="8" t="s">
        <v>834</v>
      </c>
      <c r="H17" s="8" t="s">
        <v>833</v>
      </c>
      <c r="I17" s="7" t="s">
        <v>832</v>
      </c>
      <c r="J17" s="7" t="s">
        <v>831</v>
      </c>
      <c r="K17" s="7" t="s">
        <v>806</v>
      </c>
      <c r="L17" s="7" t="s">
        <v>830</v>
      </c>
      <c r="M17" s="7" t="s">
        <v>343</v>
      </c>
      <c r="N17" s="7">
        <v>765</v>
      </c>
      <c r="O17" s="7" t="s">
        <v>124</v>
      </c>
      <c r="P17" s="7">
        <v>14800</v>
      </c>
      <c r="Q17" s="7">
        <v>0</v>
      </c>
      <c r="R17" s="7">
        <v>2</v>
      </c>
      <c r="S17" s="4" t="s">
        <v>2</v>
      </c>
      <c r="T17" s="4" t="str">
        <f>+MID(H17,FIND("(",H17),LEN(H17)-FIND("(",H17)+1)</f>
        <v>(11)</v>
      </c>
      <c r="U17" s="4" t="s">
        <v>1</v>
      </c>
      <c r="V17" s="6">
        <f>40000*1/P17</f>
        <v>2.7027027027027026</v>
      </c>
      <c r="W17" s="6">
        <f>5000/P17</f>
        <v>0.33783783783783783</v>
      </c>
    </row>
    <row r="18" spans="4:40" ht="66.599999999999994" thickBot="1" x14ac:dyDescent="0.35">
      <c r="D18" s="7">
        <v>1</v>
      </c>
      <c r="E18" s="7" t="s">
        <v>686</v>
      </c>
      <c r="F18" s="8" t="s">
        <v>829</v>
      </c>
      <c r="G18" s="8" t="s">
        <v>828</v>
      </c>
      <c r="H18" s="8" t="s">
        <v>827</v>
      </c>
      <c r="I18" s="7" t="s">
        <v>826</v>
      </c>
      <c r="J18" s="7" t="s">
        <v>134</v>
      </c>
      <c r="K18" s="7" t="s">
        <v>745</v>
      </c>
      <c r="L18" s="7">
        <v>48</v>
      </c>
      <c r="M18" s="7" t="s">
        <v>702</v>
      </c>
      <c r="N18" s="7" t="s">
        <v>3</v>
      </c>
      <c r="O18" s="7" t="s">
        <v>124</v>
      </c>
      <c r="P18" s="7">
        <v>6130</v>
      </c>
      <c r="Q18" s="7">
        <v>0.8</v>
      </c>
      <c r="R18" s="7">
        <v>2</v>
      </c>
      <c r="S18" s="4" t="s">
        <v>110</v>
      </c>
      <c r="T18" s="4" t="str">
        <f>+MID(H18,FIND("(",H18),LEN(H18)-FIND("(",H18)+1)</f>
        <v>(10)</v>
      </c>
      <c r="U18" s="4" t="s">
        <v>109</v>
      </c>
      <c r="V18" s="6">
        <f>40000*1/P18</f>
        <v>6.5252854812398047</v>
      </c>
      <c r="W18" s="6">
        <f>5000/P18</f>
        <v>0.81566068515497558</v>
      </c>
      <c r="AA18" s="1" t="s">
        <v>800</v>
      </c>
    </row>
    <row r="19" spans="4:40" ht="66.599999999999994" thickBot="1" x14ac:dyDescent="0.35">
      <c r="D19" s="7">
        <v>1</v>
      </c>
      <c r="E19" s="7" t="s">
        <v>686</v>
      </c>
      <c r="F19" s="8" t="s">
        <v>825</v>
      </c>
      <c r="G19" s="8" t="s">
        <v>824</v>
      </c>
      <c r="H19" s="8" t="s">
        <v>823</v>
      </c>
      <c r="I19" s="7" t="s">
        <v>822</v>
      </c>
      <c r="J19" s="7" t="s">
        <v>821</v>
      </c>
      <c r="K19" s="7" t="s">
        <v>820</v>
      </c>
      <c r="L19" s="7">
        <v>4</v>
      </c>
      <c r="M19" s="7" t="s">
        <v>383</v>
      </c>
      <c r="N19" s="7" t="s">
        <v>3</v>
      </c>
      <c r="O19" s="7" t="s">
        <v>124</v>
      </c>
      <c r="P19" s="7">
        <v>10000</v>
      </c>
      <c r="Q19" s="7">
        <v>1</v>
      </c>
      <c r="R19" s="7">
        <v>2</v>
      </c>
      <c r="S19" s="4" t="s">
        <v>110</v>
      </c>
      <c r="T19" s="4" t="str">
        <f>+MID(H19,FIND("(",H19),LEN(H19)-FIND("(",H19)+1)</f>
        <v>(10)</v>
      </c>
      <c r="U19" s="4" t="s">
        <v>109</v>
      </c>
      <c r="V19" s="6">
        <f>40000*1/P19</f>
        <v>4</v>
      </c>
      <c r="W19" s="6">
        <f>5000/P19</f>
        <v>0.5</v>
      </c>
      <c r="AA19" s="1" t="s">
        <v>788</v>
      </c>
    </row>
    <row r="20" spans="4:40" ht="66.599999999999994" thickBot="1" x14ac:dyDescent="0.35">
      <c r="D20" s="7">
        <v>1</v>
      </c>
      <c r="E20" s="7" t="s">
        <v>686</v>
      </c>
      <c r="F20" s="8" t="s">
        <v>819</v>
      </c>
      <c r="G20" s="8" t="s">
        <v>818</v>
      </c>
      <c r="H20" s="8" t="s">
        <v>817</v>
      </c>
      <c r="I20" s="7" t="s">
        <v>816</v>
      </c>
      <c r="J20" s="7" t="s">
        <v>815</v>
      </c>
      <c r="K20" s="7" t="s">
        <v>813</v>
      </c>
      <c r="L20" s="7" t="s">
        <v>814</v>
      </c>
      <c r="M20" s="7" t="s">
        <v>813</v>
      </c>
      <c r="N20" s="7" t="s">
        <v>3</v>
      </c>
      <c r="O20" s="7" t="s">
        <v>124</v>
      </c>
      <c r="P20" s="7">
        <v>7370</v>
      </c>
      <c r="Q20" s="7">
        <v>0.6</v>
      </c>
      <c r="R20" s="7">
        <v>2</v>
      </c>
      <c r="S20" s="4" t="s">
        <v>110</v>
      </c>
      <c r="T20" s="4" t="str">
        <f>+MID(H20,FIND("(",H20),LEN(H20)-FIND("(",H20)+1)</f>
        <v>(10)</v>
      </c>
      <c r="U20" s="4" t="s">
        <v>109</v>
      </c>
      <c r="V20" s="6">
        <f>40000*1/P20</f>
        <v>5.4274084124830395</v>
      </c>
      <c r="W20" s="6">
        <f>5000/P20</f>
        <v>0.67842605156037994</v>
      </c>
      <c r="AA20" s="1" t="s">
        <v>812</v>
      </c>
    </row>
    <row r="21" spans="4:40" ht="15" thickBot="1" x14ac:dyDescent="0.35">
      <c r="D21" s="7">
        <v>1</v>
      </c>
      <c r="E21" s="7" t="s">
        <v>686</v>
      </c>
      <c r="F21" s="8" t="s">
        <v>811</v>
      </c>
      <c r="G21" s="8" t="s">
        <v>810</v>
      </c>
      <c r="H21" s="8" t="s">
        <v>809</v>
      </c>
      <c r="I21" s="7" t="s">
        <v>808</v>
      </c>
      <c r="J21" s="7" t="s">
        <v>807</v>
      </c>
      <c r="K21" s="7" t="s">
        <v>806</v>
      </c>
      <c r="L21" s="7" t="s">
        <v>679</v>
      </c>
      <c r="M21" s="7" t="s">
        <v>806</v>
      </c>
      <c r="N21" s="7" t="s">
        <v>3</v>
      </c>
      <c r="O21" s="7" t="s">
        <v>124</v>
      </c>
      <c r="P21" s="7">
        <v>12200</v>
      </c>
      <c r="Q21" s="7">
        <v>0</v>
      </c>
      <c r="R21" s="7">
        <v>2</v>
      </c>
      <c r="S21" s="4" t="s">
        <v>2</v>
      </c>
      <c r="T21" s="4" t="str">
        <f>+MID(H21,FIND("(",H21),LEN(H21)-FIND("(",H21)+1)</f>
        <v>(11)</v>
      </c>
      <c r="U21" s="4" t="s">
        <v>751</v>
      </c>
      <c r="V21" s="6">
        <f>40000*1/P21</f>
        <v>3.278688524590164</v>
      </c>
      <c r="W21" s="6">
        <f>5000/P21</f>
        <v>0.4098360655737705</v>
      </c>
    </row>
    <row r="22" spans="4:40" ht="66.599999999999994" thickBot="1" x14ac:dyDescent="0.35">
      <c r="D22" s="7">
        <v>1</v>
      </c>
      <c r="E22" s="7" t="s">
        <v>686</v>
      </c>
      <c r="F22" s="8" t="s">
        <v>805</v>
      </c>
      <c r="G22" s="8" t="s">
        <v>804</v>
      </c>
      <c r="H22" s="8" t="s">
        <v>803</v>
      </c>
      <c r="I22" s="7" t="s">
        <v>802</v>
      </c>
      <c r="J22" s="7" t="s">
        <v>801</v>
      </c>
      <c r="K22" s="7" t="s">
        <v>665</v>
      </c>
      <c r="L22" s="7" t="s">
        <v>81</v>
      </c>
      <c r="M22" s="7" t="s">
        <v>235</v>
      </c>
      <c r="N22" s="7" t="s">
        <v>3</v>
      </c>
      <c r="O22" s="7" t="s">
        <v>124</v>
      </c>
      <c r="P22" s="7">
        <v>609</v>
      </c>
      <c r="Q22" s="7">
        <v>2.1999999999999999E-2</v>
      </c>
      <c r="R22" s="7">
        <v>2</v>
      </c>
      <c r="S22" s="4" t="s">
        <v>110</v>
      </c>
      <c r="T22" s="4" t="str">
        <f>+MID(H22,FIND("(",H22),LEN(H22)-FIND("(",H22)+1)</f>
        <v>(10)</v>
      </c>
      <c r="U22" s="4" t="s">
        <v>109</v>
      </c>
      <c r="V22" s="6">
        <f>40000*1/P22</f>
        <v>65.681444991789817</v>
      </c>
      <c r="W22" s="6">
        <f>5000/P22</f>
        <v>8.2101806239737272</v>
      </c>
      <c r="AA22" s="1" t="s">
        <v>759</v>
      </c>
    </row>
    <row r="23" spans="4:40" ht="15" thickBot="1" x14ac:dyDescent="0.35">
      <c r="D23" s="7">
        <v>1</v>
      </c>
      <c r="E23" s="7" t="s">
        <v>686</v>
      </c>
      <c r="F23" s="8" t="s">
        <v>800</v>
      </c>
      <c r="G23" s="8" t="s">
        <v>799</v>
      </c>
      <c r="H23" s="8" t="s">
        <v>798</v>
      </c>
      <c r="I23" s="7" t="s">
        <v>797</v>
      </c>
      <c r="J23" s="7" t="s">
        <v>796</v>
      </c>
      <c r="K23" s="7" t="s">
        <v>795</v>
      </c>
      <c r="L23" s="7" t="s">
        <v>794</v>
      </c>
      <c r="M23" s="7" t="s">
        <v>413</v>
      </c>
      <c r="N23" s="7">
        <v>733</v>
      </c>
      <c r="O23" s="7" t="s">
        <v>124</v>
      </c>
      <c r="P23" s="7">
        <v>3500</v>
      </c>
      <c r="Q23" s="7">
        <v>0</v>
      </c>
      <c r="R23" s="7">
        <v>2</v>
      </c>
      <c r="S23" s="4" t="s">
        <v>2</v>
      </c>
      <c r="T23" s="4" t="str">
        <f>+MID(H23,FIND("(",H23),LEN(H23)-FIND("(",H23)+1)</f>
        <v>(11)</v>
      </c>
      <c r="U23" s="4" t="s">
        <v>1</v>
      </c>
      <c r="V23" s="6">
        <f>40000*1/P23</f>
        <v>11.428571428571429</v>
      </c>
      <c r="W23" s="6">
        <f>5000/P23</f>
        <v>1.4285714285714286</v>
      </c>
    </row>
    <row r="24" spans="4:40" ht="15" thickBot="1" x14ac:dyDescent="0.35">
      <c r="D24" s="7">
        <v>1</v>
      </c>
      <c r="E24" s="7" t="s">
        <v>686</v>
      </c>
      <c r="F24" s="8" t="s">
        <v>793</v>
      </c>
      <c r="G24" s="8" t="s">
        <v>792</v>
      </c>
      <c r="H24" s="8" t="s">
        <v>791</v>
      </c>
      <c r="I24" s="7" t="s">
        <v>790</v>
      </c>
      <c r="J24" s="7" t="s">
        <v>789</v>
      </c>
      <c r="K24" s="7" t="s">
        <v>471</v>
      </c>
      <c r="L24" s="7" t="s">
        <v>289</v>
      </c>
      <c r="M24" s="7" t="s">
        <v>737</v>
      </c>
      <c r="N24" s="7">
        <v>743</v>
      </c>
      <c r="O24" s="7" t="s">
        <v>124</v>
      </c>
      <c r="P24" s="7">
        <v>1430</v>
      </c>
      <c r="Q24" s="7">
        <v>0</v>
      </c>
      <c r="R24" s="7">
        <v>2</v>
      </c>
      <c r="S24" s="4" t="s">
        <v>2</v>
      </c>
      <c r="T24" s="4" t="str">
        <f>+MID(H24,FIND("(",H24),LEN(H24)-FIND("(",H24)+1)</f>
        <v>(11)</v>
      </c>
      <c r="U24" s="4" t="s">
        <v>1</v>
      </c>
      <c r="V24" s="6">
        <f>40000*1/P24</f>
        <v>27.972027972027973</v>
      </c>
      <c r="W24" s="6">
        <f>5000/P24</f>
        <v>3.4965034965034967</v>
      </c>
      <c r="AA24" s="1" t="s">
        <v>714</v>
      </c>
    </row>
    <row r="25" spans="4:40" ht="15" thickBot="1" x14ac:dyDescent="0.35">
      <c r="D25" s="7">
        <v>1</v>
      </c>
      <c r="E25" s="7" t="s">
        <v>686</v>
      </c>
      <c r="F25" s="8" t="s">
        <v>788</v>
      </c>
      <c r="G25" s="8" t="s">
        <v>787</v>
      </c>
      <c r="H25" s="8" t="s">
        <v>786</v>
      </c>
      <c r="I25" s="7" t="s">
        <v>785</v>
      </c>
      <c r="J25" s="7" t="s">
        <v>784</v>
      </c>
      <c r="K25" s="7" t="s">
        <v>783</v>
      </c>
      <c r="L25" s="7" t="s">
        <v>782</v>
      </c>
      <c r="M25" s="7" t="s">
        <v>781</v>
      </c>
      <c r="N25" s="7" t="s">
        <v>3</v>
      </c>
      <c r="O25" s="7" t="s">
        <v>124</v>
      </c>
      <c r="P25" s="7">
        <v>8830</v>
      </c>
      <c r="Q25" s="7">
        <v>0</v>
      </c>
      <c r="R25" s="7">
        <v>2</v>
      </c>
      <c r="S25" s="4" t="s">
        <v>2</v>
      </c>
      <c r="T25" s="4" t="str">
        <f>+MID(H25,FIND("(",H25),LEN(H25)-FIND("(",H25)+1)</f>
        <v>(11)</v>
      </c>
      <c r="U25" s="4" t="s">
        <v>751</v>
      </c>
      <c r="V25" s="6">
        <f>40000*1/P25</f>
        <v>4.5300113250283127</v>
      </c>
      <c r="W25" s="6">
        <f>5000/P25</f>
        <v>0.56625141562853909</v>
      </c>
    </row>
    <row r="26" spans="4:40" ht="27" thickBot="1" x14ac:dyDescent="0.35">
      <c r="D26" s="7">
        <v>1</v>
      </c>
      <c r="E26" s="7" t="s">
        <v>686</v>
      </c>
      <c r="F26" s="8" t="s">
        <v>780</v>
      </c>
      <c r="G26" s="8" t="s">
        <v>779</v>
      </c>
      <c r="H26" s="8" t="s">
        <v>778</v>
      </c>
      <c r="I26" s="7" t="s">
        <v>777</v>
      </c>
      <c r="J26" s="7" t="s">
        <v>776</v>
      </c>
      <c r="K26" s="7" t="s">
        <v>774</v>
      </c>
      <c r="L26" s="7" t="s">
        <v>775</v>
      </c>
      <c r="M26" s="7" t="s">
        <v>774</v>
      </c>
      <c r="N26" s="7" t="s">
        <v>3</v>
      </c>
      <c r="O26" s="7" t="s">
        <v>124</v>
      </c>
      <c r="P26" s="7">
        <v>3220</v>
      </c>
      <c r="Q26" s="7">
        <v>0</v>
      </c>
      <c r="R26" s="7">
        <v>2</v>
      </c>
      <c r="S26" s="4" t="s">
        <v>2</v>
      </c>
      <c r="T26" s="4" t="str">
        <f>+MID(H26,FIND("(",H26),LEN(H26)-FIND("(",H26)+1)</f>
        <v>(11)</v>
      </c>
      <c r="U26" s="4" t="s">
        <v>1</v>
      </c>
      <c r="V26" s="6">
        <f>40000*1/P26</f>
        <v>12.422360248447205</v>
      </c>
      <c r="W26" s="6">
        <f>5000/P26</f>
        <v>1.5527950310559007</v>
      </c>
    </row>
    <row r="27" spans="4:40" ht="27" thickBot="1" x14ac:dyDescent="0.35">
      <c r="D27" s="7">
        <v>1</v>
      </c>
      <c r="E27" s="7" t="s">
        <v>686</v>
      </c>
      <c r="F27" s="8" t="s">
        <v>773</v>
      </c>
      <c r="G27" s="8" t="s">
        <v>772</v>
      </c>
      <c r="H27" s="8" t="s">
        <v>771</v>
      </c>
      <c r="I27" s="7" t="s">
        <v>770</v>
      </c>
      <c r="J27" s="7" t="s">
        <v>769</v>
      </c>
      <c r="K27" s="7" t="s">
        <v>768</v>
      </c>
      <c r="L27" s="7" t="s">
        <v>767</v>
      </c>
      <c r="M27" s="7" t="s">
        <v>149</v>
      </c>
      <c r="N27" s="7" t="s">
        <v>3</v>
      </c>
      <c r="O27" s="7" t="s">
        <v>124</v>
      </c>
      <c r="P27" s="7">
        <v>9810</v>
      </c>
      <c r="Q27" s="7">
        <v>0</v>
      </c>
      <c r="R27" s="7">
        <v>2</v>
      </c>
      <c r="S27" s="4" t="s">
        <v>2</v>
      </c>
      <c r="T27" s="4" t="str">
        <f>+MID(H27,FIND("(",H27),LEN(H27)-FIND("(",H27)+1)</f>
        <v>(11)</v>
      </c>
      <c r="U27" s="4" t="s">
        <v>1</v>
      </c>
      <c r="V27" s="6">
        <f>40000*1/P27</f>
        <v>4.077471967380224</v>
      </c>
      <c r="W27" s="6">
        <f>5000/P27</f>
        <v>0.509683995922528</v>
      </c>
    </row>
    <row r="28" spans="4:40" ht="27" thickBot="1" x14ac:dyDescent="0.35">
      <c r="D28" s="7">
        <v>1</v>
      </c>
      <c r="E28" s="7" t="s">
        <v>686</v>
      </c>
      <c r="F28" s="8" t="s">
        <v>766</v>
      </c>
      <c r="G28" s="8" t="s">
        <v>765</v>
      </c>
      <c r="H28" s="8" t="s">
        <v>764</v>
      </c>
      <c r="I28" s="7" t="s">
        <v>763</v>
      </c>
      <c r="J28" s="7" t="s">
        <v>762</v>
      </c>
      <c r="K28" s="7" t="s">
        <v>760</v>
      </c>
      <c r="L28" s="7" t="s">
        <v>761</v>
      </c>
      <c r="M28" s="7" t="s">
        <v>760</v>
      </c>
      <c r="N28" s="7" t="s">
        <v>3</v>
      </c>
      <c r="O28" s="7" t="s">
        <v>124</v>
      </c>
      <c r="P28" s="7">
        <v>4.5</v>
      </c>
      <c r="Q28" s="7">
        <v>0</v>
      </c>
      <c r="R28" s="7">
        <v>2</v>
      </c>
      <c r="S28" s="4" t="s">
        <v>2</v>
      </c>
      <c r="T28" s="4" t="str">
        <f>+MID(H28,FIND("(",H28),LEN(H28)-FIND("(",H28)+1)</f>
        <v>(11)</v>
      </c>
      <c r="U28" s="4" t="s">
        <v>278</v>
      </c>
      <c r="V28" s="6">
        <f>40000*1/P28</f>
        <v>8888.8888888888887</v>
      </c>
      <c r="W28" s="6">
        <f>5000/P28</f>
        <v>1111.1111111111111</v>
      </c>
      <c r="AA28" s="1" t="s">
        <v>517</v>
      </c>
    </row>
    <row r="29" spans="4:40" ht="15" thickBot="1" x14ac:dyDescent="0.35">
      <c r="D29" s="7">
        <v>1</v>
      </c>
      <c r="E29" s="7" t="s">
        <v>686</v>
      </c>
      <c r="F29" s="8" t="s">
        <v>759</v>
      </c>
      <c r="G29" s="8" t="s">
        <v>758</v>
      </c>
      <c r="H29" s="8" t="s">
        <v>757</v>
      </c>
      <c r="I29" s="7" t="s">
        <v>756</v>
      </c>
      <c r="J29" s="7" t="s">
        <v>755</v>
      </c>
      <c r="K29" s="7" t="s">
        <v>754</v>
      </c>
      <c r="L29" s="7" t="s">
        <v>753</v>
      </c>
      <c r="M29" s="7" t="s">
        <v>752</v>
      </c>
      <c r="N29" s="7" t="s">
        <v>3</v>
      </c>
      <c r="O29" s="7" t="s">
        <v>124</v>
      </c>
      <c r="P29" s="7">
        <v>10300</v>
      </c>
      <c r="Q29" s="7">
        <v>0</v>
      </c>
      <c r="R29" s="7">
        <v>2</v>
      </c>
      <c r="S29" s="4" t="s">
        <v>2</v>
      </c>
      <c r="T29" s="4" t="str">
        <f>+MID(H29,FIND("(",H29),LEN(H29)-FIND("(",H29)+1)</f>
        <v>(11)</v>
      </c>
      <c r="U29" s="4" t="s">
        <v>751</v>
      </c>
      <c r="V29" s="6">
        <f>40000*1/P29</f>
        <v>3.883495145631068</v>
      </c>
      <c r="W29" s="6">
        <f>5000/P29</f>
        <v>0.4854368932038835</v>
      </c>
    </row>
    <row r="30" spans="4:40" ht="66.599999999999994" thickBot="1" x14ac:dyDescent="0.35">
      <c r="D30" s="7">
        <v>1</v>
      </c>
      <c r="E30" s="7" t="s">
        <v>686</v>
      </c>
      <c r="F30" s="8" t="s">
        <v>750</v>
      </c>
      <c r="G30" s="8" t="s">
        <v>749</v>
      </c>
      <c r="H30" s="8" t="s">
        <v>748</v>
      </c>
      <c r="I30" s="7" t="s">
        <v>747</v>
      </c>
      <c r="J30" s="7" t="s">
        <v>746</v>
      </c>
      <c r="K30" s="7" t="s">
        <v>745</v>
      </c>
      <c r="L30" s="7" t="s">
        <v>744</v>
      </c>
      <c r="M30" s="7" t="s">
        <v>568</v>
      </c>
      <c r="N30" s="7" t="s">
        <v>3</v>
      </c>
      <c r="O30" s="7" t="s">
        <v>124</v>
      </c>
      <c r="P30" s="7">
        <v>8077</v>
      </c>
      <c r="Q30" s="7">
        <v>0.74</v>
      </c>
      <c r="R30" s="7">
        <v>2</v>
      </c>
      <c r="S30" s="4" t="s">
        <v>161</v>
      </c>
      <c r="T30" s="4" t="str">
        <f>+MID(H30,FIND("(",H30),LEN(H30)-FIND("(",H30)+1)</f>
        <v>(10;11)</v>
      </c>
      <c r="U30" s="4" t="s">
        <v>109</v>
      </c>
      <c r="V30" s="6">
        <f>40000*1/P30</f>
        <v>4.9523337872972641</v>
      </c>
      <c r="W30" s="6">
        <f>5000/P30</f>
        <v>0.61904172341215802</v>
      </c>
      <c r="Y30" s="2"/>
      <c r="Z30" s="2"/>
      <c r="AA30" s="2" t="s">
        <v>493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4:40" ht="66.599999999999994" thickBot="1" x14ac:dyDescent="0.35">
      <c r="D31" s="7">
        <v>1</v>
      </c>
      <c r="E31" s="7" t="s">
        <v>686</v>
      </c>
      <c r="F31" s="8" t="s">
        <v>743</v>
      </c>
      <c r="G31" s="8" t="s">
        <v>742</v>
      </c>
      <c r="H31" s="8" t="s">
        <v>741</v>
      </c>
      <c r="I31" s="7" t="s">
        <v>740</v>
      </c>
      <c r="J31" s="7" t="s">
        <v>739</v>
      </c>
      <c r="K31" s="7" t="s">
        <v>695</v>
      </c>
      <c r="L31" s="7" t="s">
        <v>738</v>
      </c>
      <c r="M31" s="7" t="s">
        <v>737</v>
      </c>
      <c r="N31" s="7" t="s">
        <v>3</v>
      </c>
      <c r="O31" s="7" t="s">
        <v>124</v>
      </c>
      <c r="P31" s="7">
        <v>4083</v>
      </c>
      <c r="Q31" s="7">
        <v>0.28999999999999998</v>
      </c>
      <c r="R31" s="7">
        <v>2</v>
      </c>
      <c r="S31" s="4" t="s">
        <v>161</v>
      </c>
      <c r="T31" s="4" t="str">
        <f>+MID(H31,FIND("(",H31),LEN(H31)-FIND("(",H31)+1)</f>
        <v>(10;11)</v>
      </c>
      <c r="U31" s="4" t="s">
        <v>109</v>
      </c>
      <c r="V31" s="6">
        <f>40000*1/P31</f>
        <v>9.7967180994366885</v>
      </c>
      <c r="W31" s="6">
        <f>5000/P31</f>
        <v>1.2245897624295861</v>
      </c>
      <c r="Y31" s="2"/>
      <c r="Z31" s="2"/>
      <c r="AA31" s="2" t="s">
        <v>488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4:40" ht="66.599999999999994" thickBot="1" x14ac:dyDescent="0.35">
      <c r="D32" s="7">
        <v>1</v>
      </c>
      <c r="E32" s="7" t="s">
        <v>686</v>
      </c>
      <c r="F32" s="8" t="s">
        <v>736</v>
      </c>
      <c r="G32" s="8" t="s">
        <v>735</v>
      </c>
      <c r="H32" s="8" t="s">
        <v>734</v>
      </c>
      <c r="I32" s="7">
        <v>112</v>
      </c>
      <c r="J32" s="7" t="s">
        <v>733</v>
      </c>
      <c r="K32" s="7" t="s">
        <v>549</v>
      </c>
      <c r="L32" s="7" t="s">
        <v>732</v>
      </c>
      <c r="M32" s="7" t="s">
        <v>374</v>
      </c>
      <c r="N32" s="7" t="s">
        <v>3</v>
      </c>
      <c r="O32" s="7" t="s">
        <v>124</v>
      </c>
      <c r="P32" s="7">
        <v>4657</v>
      </c>
      <c r="Q32" s="7">
        <v>0.33</v>
      </c>
      <c r="R32" s="7">
        <v>2</v>
      </c>
      <c r="S32" s="4" t="s">
        <v>161</v>
      </c>
      <c r="T32" s="4" t="str">
        <f>+MID(H32,FIND("(",H32),LEN(H32)-FIND("(",H32)+1)</f>
        <v>(10;11)</v>
      </c>
      <c r="U32" s="4" t="s">
        <v>109</v>
      </c>
      <c r="V32" s="6">
        <f>40000*1/P32</f>
        <v>8.5892205282370622</v>
      </c>
      <c r="W32" s="6">
        <f>5000/P32</f>
        <v>1.0736525660296328</v>
      </c>
      <c r="Y32" s="2"/>
      <c r="Z32" s="2"/>
      <c r="AA32" s="2" t="s">
        <v>482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4:40" ht="66.599999999999994" thickBot="1" x14ac:dyDescent="0.35">
      <c r="D33" s="7">
        <v>1</v>
      </c>
      <c r="E33" s="7" t="s">
        <v>686</v>
      </c>
      <c r="F33" s="8" t="s">
        <v>731</v>
      </c>
      <c r="G33" s="8" t="s">
        <v>730</v>
      </c>
      <c r="H33" s="8" t="s">
        <v>729</v>
      </c>
      <c r="I33" s="7" t="s">
        <v>218</v>
      </c>
      <c r="J33" s="7" t="s">
        <v>369</v>
      </c>
      <c r="K33" s="7" t="s">
        <v>617</v>
      </c>
      <c r="L33" s="7" t="s">
        <v>728</v>
      </c>
      <c r="M33" s="7" t="s">
        <v>3</v>
      </c>
      <c r="N33" s="7" t="s">
        <v>3</v>
      </c>
      <c r="O33" s="7" t="s">
        <v>3</v>
      </c>
      <c r="P33" s="7">
        <v>14560</v>
      </c>
      <c r="Q33" s="7">
        <v>0.6</v>
      </c>
      <c r="R33" s="7">
        <v>2</v>
      </c>
      <c r="S33" s="4" t="s">
        <v>161</v>
      </c>
      <c r="T33" s="4" t="str">
        <f>+MID(H33,FIND("(",H33),LEN(H33)-FIND("(",H33)+1)</f>
        <v>(10;11)</v>
      </c>
      <c r="U33" s="4" t="s">
        <v>109</v>
      </c>
      <c r="V33" s="6">
        <f>40000*1/P33</f>
        <v>2.7472527472527473</v>
      </c>
      <c r="W33" s="6">
        <f>5000/P33</f>
        <v>0.34340659340659341</v>
      </c>
      <c r="Y33" s="2"/>
      <c r="Z33" s="2"/>
      <c r="AA33" s="2" t="s">
        <v>476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4:40" ht="66.599999999999994" thickBot="1" x14ac:dyDescent="0.35">
      <c r="D34" s="7">
        <v>1</v>
      </c>
      <c r="E34" s="7" t="s">
        <v>686</v>
      </c>
      <c r="F34" s="8" t="s">
        <v>727</v>
      </c>
      <c r="G34" s="8" t="s">
        <v>726</v>
      </c>
      <c r="H34" s="8" t="s">
        <v>725</v>
      </c>
      <c r="I34" s="7" t="s">
        <v>724</v>
      </c>
      <c r="J34" s="7" t="s">
        <v>723</v>
      </c>
      <c r="K34" s="7" t="s">
        <v>549</v>
      </c>
      <c r="L34" s="7" t="s">
        <v>722</v>
      </c>
      <c r="M34" s="7" t="s">
        <v>549</v>
      </c>
      <c r="N34" s="7" t="s">
        <v>3</v>
      </c>
      <c r="O34" s="7" t="s">
        <v>124</v>
      </c>
      <c r="P34" s="7">
        <v>4143</v>
      </c>
      <c r="Q34" s="7">
        <v>0.31</v>
      </c>
      <c r="R34" s="7">
        <v>2</v>
      </c>
      <c r="S34" s="4" t="s">
        <v>161</v>
      </c>
      <c r="T34" s="4" t="str">
        <f>+MID(H34,FIND("(",H34),LEN(H34)-FIND("(",H34)+1)</f>
        <v>(10;11)</v>
      </c>
      <c r="U34" s="4" t="s">
        <v>109</v>
      </c>
      <c r="V34" s="6">
        <f>40000*1/P34</f>
        <v>9.6548394882935078</v>
      </c>
      <c r="W34" s="6">
        <f>5000/P34</f>
        <v>1.2068549360366885</v>
      </c>
      <c r="Y34" s="2"/>
      <c r="Z34" s="2"/>
      <c r="AA34" s="2" t="s">
        <v>470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4:40" ht="27" thickBot="1" x14ac:dyDescent="0.35">
      <c r="D35" s="7">
        <v>1</v>
      </c>
      <c r="E35" s="7" t="s">
        <v>686</v>
      </c>
      <c r="F35" s="8" t="s">
        <v>721</v>
      </c>
      <c r="G35" s="8" t="s">
        <v>720</v>
      </c>
      <c r="H35" s="8" t="s">
        <v>719</v>
      </c>
      <c r="I35" s="7" t="s">
        <v>718</v>
      </c>
      <c r="J35" s="7" t="s">
        <v>717</v>
      </c>
      <c r="K35" s="7" t="s">
        <v>715</v>
      </c>
      <c r="L35" s="7" t="s">
        <v>716</v>
      </c>
      <c r="M35" s="7" t="s">
        <v>715</v>
      </c>
      <c r="N35" s="7" t="s">
        <v>3</v>
      </c>
      <c r="O35" s="7" t="s">
        <v>124</v>
      </c>
      <c r="P35" s="7">
        <v>3985</v>
      </c>
      <c r="Q35" s="7">
        <v>0</v>
      </c>
      <c r="R35" s="7">
        <v>2</v>
      </c>
      <c r="S35" s="4" t="s">
        <v>2</v>
      </c>
      <c r="T35" s="4" t="str">
        <f>+MID(H35,FIND("(",H35),LEN(H35)-FIND("(",H35)+1)</f>
        <v>(11)</v>
      </c>
      <c r="U35" s="4" t="s">
        <v>1</v>
      </c>
      <c r="V35" s="6">
        <f>40000*1/P35</f>
        <v>10.037641154328734</v>
      </c>
      <c r="W35" s="6">
        <f>5000/P35</f>
        <v>1.2547051442910917</v>
      </c>
    </row>
    <row r="36" spans="4:40" ht="15" thickBot="1" x14ac:dyDescent="0.35">
      <c r="D36" s="7">
        <v>1</v>
      </c>
      <c r="E36" s="7" t="s">
        <v>686</v>
      </c>
      <c r="F36" s="8" t="s">
        <v>714</v>
      </c>
      <c r="G36" s="8" t="s">
        <v>713</v>
      </c>
      <c r="H36" s="8" t="s">
        <v>712</v>
      </c>
      <c r="I36" s="7" t="s">
        <v>711</v>
      </c>
      <c r="J36" s="7" t="s">
        <v>710</v>
      </c>
      <c r="K36" s="7" t="s">
        <v>395</v>
      </c>
      <c r="L36" s="7" t="s">
        <v>709</v>
      </c>
      <c r="M36" s="7" t="s">
        <v>395</v>
      </c>
      <c r="N36" s="7" t="s">
        <v>3</v>
      </c>
      <c r="O36" s="7" t="s">
        <v>124</v>
      </c>
      <c r="P36" s="7">
        <v>13210</v>
      </c>
      <c r="Q36" s="7">
        <v>0</v>
      </c>
      <c r="R36" s="7">
        <v>2</v>
      </c>
      <c r="S36" s="4" t="s">
        <v>2</v>
      </c>
      <c r="T36" s="4" t="str">
        <f>+MID(H36,FIND("(",H36),LEN(H36)-FIND("(",H36)+1)</f>
        <v>(11)</v>
      </c>
      <c r="U36" s="4" t="s">
        <v>173</v>
      </c>
      <c r="V36" s="6">
        <f>40000*1/P36</f>
        <v>3.0280090840272522</v>
      </c>
      <c r="W36" s="6">
        <f>5000/P36</f>
        <v>0.37850113550340653</v>
      </c>
    </row>
    <row r="37" spans="4:40" ht="15" thickBot="1" x14ac:dyDescent="0.35">
      <c r="D37" s="7">
        <v>1</v>
      </c>
      <c r="E37" s="7" t="s">
        <v>686</v>
      </c>
      <c r="F37" s="8" t="s">
        <v>708</v>
      </c>
      <c r="G37" s="8" t="s">
        <v>707</v>
      </c>
      <c r="H37" s="8" t="s">
        <v>706</v>
      </c>
      <c r="I37" s="7" t="s">
        <v>705</v>
      </c>
      <c r="J37" s="7" t="s">
        <v>704</v>
      </c>
      <c r="K37" s="7" t="s">
        <v>471</v>
      </c>
      <c r="L37" s="7" t="s">
        <v>703</v>
      </c>
      <c r="M37" s="7" t="s">
        <v>702</v>
      </c>
      <c r="N37" s="7" t="s">
        <v>3</v>
      </c>
      <c r="O37" s="7" t="s">
        <v>124</v>
      </c>
      <c r="P37" s="7">
        <v>13400</v>
      </c>
      <c r="Q37" s="7">
        <v>0</v>
      </c>
      <c r="R37" s="7">
        <v>2</v>
      </c>
      <c r="S37" s="4" t="s">
        <v>2</v>
      </c>
      <c r="T37" s="4" t="str">
        <f>+MID(H37,FIND("(",H37),LEN(H37)-FIND("(",H37)+1)</f>
        <v>(11)</v>
      </c>
      <c r="U37" s="4" t="s">
        <v>173</v>
      </c>
      <c r="V37" s="6">
        <f>40000*1/P37</f>
        <v>2.9850746268656718</v>
      </c>
      <c r="W37" s="6">
        <f>5000/P37</f>
        <v>0.37313432835820898</v>
      </c>
    </row>
    <row r="38" spans="4:40" ht="66.599999999999994" thickBot="1" x14ac:dyDescent="0.35">
      <c r="D38" s="7">
        <v>1</v>
      </c>
      <c r="E38" s="7" t="s">
        <v>686</v>
      </c>
      <c r="F38" s="8" t="s">
        <v>701</v>
      </c>
      <c r="G38" s="8" t="s">
        <v>700</v>
      </c>
      <c r="H38" s="8" t="s">
        <v>699</v>
      </c>
      <c r="I38" s="7">
        <v>124</v>
      </c>
      <c r="J38" s="7" t="s">
        <v>698</v>
      </c>
      <c r="K38" s="7" t="s">
        <v>697</v>
      </c>
      <c r="L38" s="7" t="s">
        <v>696</v>
      </c>
      <c r="M38" s="7" t="s">
        <v>695</v>
      </c>
      <c r="N38" s="7" t="s">
        <v>3</v>
      </c>
      <c r="O38" s="7" t="s">
        <v>124</v>
      </c>
      <c r="P38" s="7">
        <v>5741</v>
      </c>
      <c r="Q38" s="7">
        <v>2.4E-2</v>
      </c>
      <c r="R38" s="7">
        <v>2</v>
      </c>
      <c r="S38" s="4" t="s">
        <v>161</v>
      </c>
      <c r="T38" s="4" t="str">
        <f>+MID(H38,FIND("(",H38),LEN(H38)-FIND("(",H38)+1)</f>
        <v>(10;11)</v>
      </c>
      <c r="U38" s="4" t="s">
        <v>109</v>
      </c>
      <c r="V38" s="6">
        <f>40000*1/P38</f>
        <v>6.9674272774777917</v>
      </c>
      <c r="W38" s="6">
        <f>5000/P38</f>
        <v>0.87092840968472396</v>
      </c>
      <c r="Y38" s="2"/>
      <c r="Z38" s="2"/>
      <c r="AA38" s="2" t="s">
        <v>412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4:40" ht="26.4" customHeight="1" thickBot="1" x14ac:dyDescent="0.35">
      <c r="D39" s="7">
        <v>1</v>
      </c>
      <c r="E39" s="7" t="s">
        <v>686</v>
      </c>
      <c r="F39" s="8" t="s">
        <v>694</v>
      </c>
      <c r="G39" s="8" t="s">
        <v>693</v>
      </c>
      <c r="H39" s="8" t="s">
        <v>692</v>
      </c>
      <c r="I39" s="7" t="s">
        <v>691</v>
      </c>
      <c r="J39" s="15">
        <v>4256</v>
      </c>
      <c r="K39" s="7" t="s">
        <v>354</v>
      </c>
      <c r="L39" s="7" t="s">
        <v>690</v>
      </c>
      <c r="M39" s="7" t="s">
        <v>354</v>
      </c>
      <c r="N39" s="7" t="s">
        <v>3</v>
      </c>
      <c r="O39" s="7" t="s">
        <v>124</v>
      </c>
      <c r="P39" s="7">
        <v>631.4</v>
      </c>
      <c r="Q39" s="7">
        <v>0</v>
      </c>
      <c r="R39" s="7">
        <v>2</v>
      </c>
      <c r="S39" s="4" t="s">
        <v>2</v>
      </c>
      <c r="T39" s="4" t="str">
        <f>+MID(H39,FIND("(",H39),LEN(H39)-FIND("(",H39)+1)</f>
        <v>(11)</v>
      </c>
      <c r="U39" s="4" t="s">
        <v>214</v>
      </c>
      <c r="V39" s="6">
        <f>40000*1/P39</f>
        <v>63.351282863477991</v>
      </c>
      <c r="W39" s="6">
        <f>5000/P39</f>
        <v>7.9189103579347488</v>
      </c>
      <c r="AA39" s="1" t="s">
        <v>297</v>
      </c>
    </row>
    <row r="40" spans="4:40" ht="53.4" thickBot="1" x14ac:dyDescent="0.35">
      <c r="D40" s="7">
        <v>1</v>
      </c>
      <c r="E40" s="7" t="s">
        <v>686</v>
      </c>
      <c r="F40" s="8" t="s">
        <v>689</v>
      </c>
      <c r="G40" s="8" t="s">
        <v>688</v>
      </c>
      <c r="H40" s="8" t="s">
        <v>687</v>
      </c>
      <c r="I40" s="7">
        <v>18</v>
      </c>
      <c r="J40" s="7"/>
      <c r="K40" s="7" t="s">
        <v>3</v>
      </c>
      <c r="L40" s="7">
        <v>100</v>
      </c>
      <c r="M40" s="7" t="s">
        <v>134</v>
      </c>
      <c r="N40" s="7" t="s">
        <v>134</v>
      </c>
      <c r="O40" s="7" t="s">
        <v>124</v>
      </c>
      <c r="P40" s="7">
        <v>0</v>
      </c>
      <c r="Q40" s="7">
        <v>0</v>
      </c>
      <c r="R40" s="7">
        <v>2</v>
      </c>
      <c r="S40" s="4" t="s">
        <v>118</v>
      </c>
      <c r="T40" s="4" t="e">
        <f>+MID(H40,FIND("(",H40),LEN(H40)-FIND("(",H40)+1)</f>
        <v>#VALUE!</v>
      </c>
      <c r="U40" s="4" t="s">
        <v>9</v>
      </c>
      <c r="V40" s="6" t="e">
        <f>40000*1/P40</f>
        <v>#DIV/0!</v>
      </c>
      <c r="W40" s="6" t="e">
        <f>5000/P40</f>
        <v>#DIV/0!</v>
      </c>
      <c r="AA40" s="1" t="s">
        <v>202</v>
      </c>
    </row>
    <row r="41" spans="4:40" ht="53.4" thickBot="1" x14ac:dyDescent="0.35">
      <c r="D41" s="7">
        <v>1</v>
      </c>
      <c r="E41" s="7" t="s">
        <v>686</v>
      </c>
      <c r="F41" s="8" t="s">
        <v>685</v>
      </c>
      <c r="G41" s="8" t="s">
        <v>684</v>
      </c>
      <c r="H41" s="8" t="s">
        <v>683</v>
      </c>
      <c r="I41" s="7" t="s">
        <v>682</v>
      </c>
      <c r="J41" s="7" t="s">
        <v>681</v>
      </c>
      <c r="K41" s="7" t="s">
        <v>680</v>
      </c>
      <c r="L41" s="7" t="s">
        <v>679</v>
      </c>
      <c r="M41" s="7" t="s">
        <v>678</v>
      </c>
      <c r="N41" s="7" t="s">
        <v>3</v>
      </c>
      <c r="O41" s="7" t="s">
        <v>124</v>
      </c>
      <c r="P41" s="7">
        <v>1</v>
      </c>
      <c r="Q41" s="7">
        <v>0</v>
      </c>
      <c r="R41" s="7">
        <v>2</v>
      </c>
      <c r="S41" s="4" t="s">
        <v>118</v>
      </c>
      <c r="T41" s="4" t="e">
        <f>+MID(H41,FIND("(",H41),LEN(H41)-FIND("(",H41)+1)</f>
        <v>#VALUE!</v>
      </c>
      <c r="U41" s="4" t="s">
        <v>9</v>
      </c>
      <c r="V41" s="6">
        <f>40000*1/P41</f>
        <v>40000</v>
      </c>
      <c r="W41" s="6">
        <f>5000/P41</f>
        <v>5000</v>
      </c>
      <c r="AA41" s="1" t="s">
        <v>160</v>
      </c>
    </row>
    <row r="42" spans="4:40" ht="66.599999999999994" thickBot="1" x14ac:dyDescent="0.35">
      <c r="D42" s="7">
        <v>1</v>
      </c>
      <c r="E42" s="7" t="s">
        <v>307</v>
      </c>
      <c r="F42" s="8" t="s">
        <v>677</v>
      </c>
      <c r="G42" s="8" t="s">
        <v>676</v>
      </c>
      <c r="H42" s="8" t="s">
        <v>675</v>
      </c>
      <c r="I42" s="7" t="s">
        <v>674</v>
      </c>
      <c r="J42" s="7" t="s">
        <v>534</v>
      </c>
      <c r="K42" s="7" t="s">
        <v>673</v>
      </c>
      <c r="L42" s="7" t="s">
        <v>672</v>
      </c>
      <c r="M42" s="7" t="s">
        <v>440</v>
      </c>
      <c r="N42" s="7">
        <v>681</v>
      </c>
      <c r="O42" s="7" t="s">
        <v>124</v>
      </c>
      <c r="P42" s="7">
        <v>1182</v>
      </c>
      <c r="Q42" s="7">
        <v>3.6999999999999998E-2</v>
      </c>
      <c r="R42" s="7">
        <v>2</v>
      </c>
      <c r="S42" s="4" t="s">
        <v>161</v>
      </c>
      <c r="T42" s="4" t="str">
        <f>+MID(H42,FIND("(",H42),LEN(H42)-FIND("(",H42)+1)</f>
        <v>(10;11)</v>
      </c>
      <c r="U42" s="4" t="s">
        <v>109</v>
      </c>
      <c r="V42" s="6">
        <f>40000*1/P42</f>
        <v>33.840947546531304</v>
      </c>
      <c r="W42" s="6">
        <f>5000/P42</f>
        <v>4.230118443316413</v>
      </c>
      <c r="Y42" s="2"/>
      <c r="Z42" s="2"/>
      <c r="AA42" s="2" t="s">
        <v>7</v>
      </c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4:40" ht="66.599999999999994" thickBot="1" x14ac:dyDescent="0.35">
      <c r="D43" s="7">
        <v>1</v>
      </c>
      <c r="E43" s="7" t="s">
        <v>307</v>
      </c>
      <c r="F43" s="8" t="s">
        <v>671</v>
      </c>
      <c r="G43" s="8" t="s">
        <v>670</v>
      </c>
      <c r="H43" s="8" t="s">
        <v>669</v>
      </c>
      <c r="I43" s="7" t="s">
        <v>668</v>
      </c>
      <c r="J43" s="7" t="s">
        <v>667</v>
      </c>
      <c r="K43" s="7" t="s">
        <v>149</v>
      </c>
      <c r="L43" s="7" t="s">
        <v>666</v>
      </c>
      <c r="M43" s="7" t="s">
        <v>665</v>
      </c>
      <c r="N43" s="7">
        <v>685</v>
      </c>
      <c r="O43" s="7" t="s">
        <v>124</v>
      </c>
      <c r="P43" s="7">
        <v>1288</v>
      </c>
      <c r="Q43" s="7">
        <v>0.04</v>
      </c>
      <c r="R43" s="7">
        <v>2</v>
      </c>
      <c r="S43" s="4" t="s">
        <v>161</v>
      </c>
      <c r="T43" s="4" t="str">
        <f>+MID(H43,FIND("(",H43),LEN(H43)-FIND("(",H43)+1)</f>
        <v>(10;11)</v>
      </c>
      <c r="U43" s="4" t="s">
        <v>109</v>
      </c>
      <c r="V43" s="6">
        <f>40000*1/P43</f>
        <v>31.055900621118013</v>
      </c>
      <c r="W43" s="6">
        <f>5000/P43</f>
        <v>3.8819875776397517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4:40" ht="66.599999999999994" thickBot="1" x14ac:dyDescent="0.35">
      <c r="D44" s="7">
        <v>1</v>
      </c>
      <c r="E44" s="7" t="s">
        <v>307</v>
      </c>
      <c r="F44" s="8" t="s">
        <v>664</v>
      </c>
      <c r="G44" s="8" t="s">
        <v>663</v>
      </c>
      <c r="H44" s="8" t="s">
        <v>662</v>
      </c>
      <c r="I44" s="7">
        <v>101</v>
      </c>
      <c r="J44" s="7" t="s">
        <v>661</v>
      </c>
      <c r="K44" s="7" t="s">
        <v>645</v>
      </c>
      <c r="L44" s="7" t="s">
        <v>660</v>
      </c>
      <c r="M44" s="7" t="s">
        <v>428</v>
      </c>
      <c r="N44" s="7" t="s">
        <v>3</v>
      </c>
      <c r="O44" s="7" t="s">
        <v>124</v>
      </c>
      <c r="P44" s="7">
        <v>932.6</v>
      </c>
      <c r="Q44" s="7">
        <v>0.03</v>
      </c>
      <c r="R44" s="7">
        <v>2</v>
      </c>
      <c r="S44" s="4" t="s">
        <v>161</v>
      </c>
      <c r="T44" s="4" t="str">
        <f>+MID(H44,FIND("(",H44),LEN(H44)-FIND("(",H44)+1)</f>
        <v>(10;11)</v>
      </c>
      <c r="U44" s="4" t="s">
        <v>109</v>
      </c>
      <c r="V44" s="6">
        <f>40000*1/P44</f>
        <v>42.890842805061119</v>
      </c>
      <c r="W44" s="6">
        <f>5000/P44</f>
        <v>5.3613553506326399</v>
      </c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4:40" ht="66.599999999999994" thickBot="1" x14ac:dyDescent="0.35">
      <c r="D45" s="7">
        <v>1</v>
      </c>
      <c r="E45" s="7" t="s">
        <v>307</v>
      </c>
      <c r="F45" s="8" t="s">
        <v>659</v>
      </c>
      <c r="G45" s="8" t="s">
        <v>658</v>
      </c>
      <c r="H45" s="8" t="s">
        <v>653</v>
      </c>
      <c r="I45" s="7" t="s">
        <v>657</v>
      </c>
      <c r="J45" s="7" t="s">
        <v>430</v>
      </c>
      <c r="K45" s="7" t="s">
        <v>374</v>
      </c>
      <c r="L45" s="7" t="s">
        <v>656</v>
      </c>
      <c r="M45" s="7" t="s">
        <v>397</v>
      </c>
      <c r="N45" s="7">
        <v>723</v>
      </c>
      <c r="O45" s="7" t="s">
        <v>124</v>
      </c>
      <c r="P45" s="7">
        <v>2788</v>
      </c>
      <c r="Q45" s="7">
        <v>2.1000000000000001E-2</v>
      </c>
      <c r="R45" s="7">
        <v>2</v>
      </c>
      <c r="S45" s="4" t="s">
        <v>161</v>
      </c>
      <c r="T45" s="4" t="str">
        <f>+MID(H45,FIND("(",H45),LEN(H45)-FIND("(",H45)+1)</f>
        <v>(10;11)</v>
      </c>
      <c r="U45" s="4" t="s">
        <v>109</v>
      </c>
      <c r="V45" s="6">
        <f>40000*1/P45</f>
        <v>14.347202295552368</v>
      </c>
      <c r="W45" s="6">
        <f>5000/P45</f>
        <v>1.793400286944046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4:40" ht="66.599999999999994" thickBot="1" x14ac:dyDescent="0.35">
      <c r="D46" s="7">
        <v>1</v>
      </c>
      <c r="E46" s="7" t="s">
        <v>307</v>
      </c>
      <c r="F46" s="8" t="s">
        <v>655</v>
      </c>
      <c r="G46" s="8" t="s">
        <v>654</v>
      </c>
      <c r="H46" s="8" t="s">
        <v>653</v>
      </c>
      <c r="I46" s="7" t="s">
        <v>652</v>
      </c>
      <c r="J46" s="7" t="s">
        <v>651</v>
      </c>
      <c r="K46" s="7" t="s">
        <v>335</v>
      </c>
      <c r="L46" s="7" t="s">
        <v>650</v>
      </c>
      <c r="M46" s="7" t="s">
        <v>645</v>
      </c>
      <c r="N46" s="7">
        <v>641</v>
      </c>
      <c r="O46" s="7" t="s">
        <v>124</v>
      </c>
      <c r="P46" s="7">
        <v>2416</v>
      </c>
      <c r="Q46" s="7">
        <v>3.3000000000000002E-2</v>
      </c>
      <c r="R46" s="7">
        <v>2</v>
      </c>
      <c r="S46" s="4" t="s">
        <v>161</v>
      </c>
      <c r="T46" s="4" t="str">
        <f>+MID(H46,FIND("(",H46),LEN(H46)-FIND("(",H46)+1)</f>
        <v>(10;11)</v>
      </c>
      <c r="U46" s="4" t="s">
        <v>109</v>
      </c>
      <c r="V46" s="6">
        <f>40000*1/P46</f>
        <v>16.556291390728475</v>
      </c>
      <c r="W46" s="6">
        <f>5000/P46</f>
        <v>2.0695364238410594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4:40" ht="66.599999999999994" thickBot="1" x14ac:dyDescent="0.35">
      <c r="D47" s="7">
        <v>1</v>
      </c>
      <c r="E47" s="7" t="s">
        <v>307</v>
      </c>
      <c r="F47" s="8" t="s">
        <v>649</v>
      </c>
      <c r="G47" s="8" t="s">
        <v>648</v>
      </c>
      <c r="H47" s="8" t="s">
        <v>641</v>
      </c>
      <c r="I47" s="7">
        <v>92</v>
      </c>
      <c r="J47" s="7" t="s">
        <v>647</v>
      </c>
      <c r="K47" s="7" t="s">
        <v>374</v>
      </c>
      <c r="L47" s="7" t="s">
        <v>646</v>
      </c>
      <c r="M47" s="7" t="s">
        <v>645</v>
      </c>
      <c r="N47" s="7" t="s">
        <v>3</v>
      </c>
      <c r="O47" s="7" t="s">
        <v>644</v>
      </c>
      <c r="P47" s="7">
        <v>3124</v>
      </c>
      <c r="Q47" s="7">
        <v>4.1000000000000002E-2</v>
      </c>
      <c r="R47" s="7">
        <v>2</v>
      </c>
      <c r="S47" s="4" t="s">
        <v>161</v>
      </c>
      <c r="T47" s="4" t="str">
        <f>+MID(H47,FIND("(",H47),LEN(H47)-FIND("(",H47)+1)</f>
        <v>(10;11)</v>
      </c>
      <c r="U47" s="4" t="s">
        <v>109</v>
      </c>
      <c r="V47" s="6">
        <f>40000*1/P47</f>
        <v>12.804097311139564</v>
      </c>
      <c r="W47" s="6">
        <f>5000/P47</f>
        <v>1.6005121638924455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4:40" ht="66.599999999999994" thickBot="1" x14ac:dyDescent="0.35">
      <c r="D48" s="7">
        <v>1</v>
      </c>
      <c r="E48" s="7" t="s">
        <v>307</v>
      </c>
      <c r="F48" s="8" t="s">
        <v>643</v>
      </c>
      <c r="G48" s="8" t="s">
        <v>642</v>
      </c>
      <c r="H48" s="8" t="s">
        <v>641</v>
      </c>
      <c r="I48" s="7" t="s">
        <v>640</v>
      </c>
      <c r="J48" s="7" t="s">
        <v>639</v>
      </c>
      <c r="K48" s="7" t="s">
        <v>544</v>
      </c>
      <c r="L48" s="7" t="s">
        <v>638</v>
      </c>
      <c r="M48" s="7" t="s">
        <v>419</v>
      </c>
      <c r="N48" s="7" t="s">
        <v>3</v>
      </c>
      <c r="O48" s="7" t="s">
        <v>124</v>
      </c>
      <c r="P48" s="7">
        <v>4457</v>
      </c>
      <c r="Q48" s="7">
        <v>3.1E-2</v>
      </c>
      <c r="R48" s="7">
        <v>2</v>
      </c>
      <c r="S48" s="4" t="s">
        <v>161</v>
      </c>
      <c r="T48" s="4" t="str">
        <f>+MID(H48,FIND("(",H48),LEN(H48)-FIND("(",H48)+1)</f>
        <v>(10;11)</v>
      </c>
      <c r="U48" s="4" t="s">
        <v>109</v>
      </c>
      <c r="V48" s="6">
        <f>40000*1/P48</f>
        <v>8.9746466232892086</v>
      </c>
      <c r="W48" s="6">
        <f>5000/P48</f>
        <v>1.1218308279111511</v>
      </c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4:40" ht="40.200000000000003" thickBot="1" x14ac:dyDescent="0.35">
      <c r="D49" s="7">
        <v>1</v>
      </c>
      <c r="E49" s="7" t="s">
        <v>560</v>
      </c>
      <c r="F49" s="8" t="s">
        <v>637</v>
      </c>
      <c r="G49" s="8" t="s">
        <v>636</v>
      </c>
      <c r="H49" s="8" t="s">
        <v>635</v>
      </c>
      <c r="I49" s="7" t="s">
        <v>634</v>
      </c>
      <c r="J49" s="7" t="s">
        <v>633</v>
      </c>
      <c r="K49" s="7" t="s">
        <v>631</v>
      </c>
      <c r="L49" s="7" t="s">
        <v>632</v>
      </c>
      <c r="M49" s="7" t="s">
        <v>631</v>
      </c>
      <c r="N49" s="7">
        <v>728</v>
      </c>
      <c r="O49" s="7" t="s">
        <v>124</v>
      </c>
      <c r="P49" s="7">
        <v>3922</v>
      </c>
      <c r="Q49" s="7">
        <v>0</v>
      </c>
      <c r="R49" s="7">
        <v>2</v>
      </c>
      <c r="S49" s="4" t="s">
        <v>2</v>
      </c>
      <c r="T49" s="4" t="str">
        <f>+MID(H49,FIND("(",H49),LEN(H49)-FIND("(",H49)+1)</f>
        <v>(11)</v>
      </c>
      <c r="U49" s="4" t="s">
        <v>1</v>
      </c>
      <c r="V49" s="6">
        <f>40000*1/P49</f>
        <v>10.198878123406425</v>
      </c>
      <c r="W49" s="6">
        <f>5000/P49</f>
        <v>1.2748597654258031</v>
      </c>
    </row>
    <row r="50" spans="4:40" ht="66.599999999999994" thickBot="1" x14ac:dyDescent="0.35">
      <c r="D50" s="7">
        <v>1</v>
      </c>
      <c r="E50" s="7" t="s">
        <v>560</v>
      </c>
      <c r="F50" s="8" t="s">
        <v>630</v>
      </c>
      <c r="G50" s="8" t="s">
        <v>629</v>
      </c>
      <c r="H50" s="8" t="s">
        <v>628</v>
      </c>
      <c r="I50" s="7" t="s">
        <v>528</v>
      </c>
      <c r="J50" s="7" t="s">
        <v>527</v>
      </c>
      <c r="K50" s="7" t="s">
        <v>3</v>
      </c>
      <c r="L50" s="7" t="s">
        <v>627</v>
      </c>
      <c r="M50" s="7" t="s">
        <v>452</v>
      </c>
      <c r="N50" s="7" t="s">
        <v>3</v>
      </c>
      <c r="O50" s="7" t="s">
        <v>3</v>
      </c>
      <c r="P50" s="7">
        <v>5328</v>
      </c>
      <c r="Q50" s="7">
        <v>2.8000000000000001E-2</v>
      </c>
      <c r="R50" s="7">
        <v>2</v>
      </c>
      <c r="S50" s="4" t="s">
        <v>161</v>
      </c>
      <c r="T50" s="4" t="str">
        <f>+MID(H50,FIND("(",H50),LEN(H50)-FIND("(",H50)+1)</f>
        <v>(10;11)</v>
      </c>
      <c r="U50" s="4" t="s">
        <v>109</v>
      </c>
      <c r="V50" s="6">
        <f>40000*1/P50</f>
        <v>7.5075075075075075</v>
      </c>
      <c r="W50" s="6">
        <f>5000/P50</f>
        <v>0.93843843843843844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4:40" ht="42.6" customHeight="1" thickBot="1" x14ac:dyDescent="0.35">
      <c r="D51" s="7">
        <v>1</v>
      </c>
      <c r="E51" s="7" t="s">
        <v>560</v>
      </c>
      <c r="F51" s="8" t="s">
        <v>626</v>
      </c>
      <c r="G51" s="8" t="s">
        <v>625</v>
      </c>
      <c r="H51" s="8" t="s">
        <v>596</v>
      </c>
      <c r="I51" s="7" t="s">
        <v>624</v>
      </c>
      <c r="J51" s="7" t="s">
        <v>623</v>
      </c>
      <c r="K51" s="7" t="s">
        <v>374</v>
      </c>
      <c r="L51" s="7" t="s">
        <v>622</v>
      </c>
      <c r="M51" s="7" t="s">
        <v>611</v>
      </c>
      <c r="N51" s="7">
        <v>685</v>
      </c>
      <c r="O51" s="7" t="s">
        <v>124</v>
      </c>
      <c r="P51" s="7">
        <v>2107</v>
      </c>
      <c r="Q51" s="7">
        <v>0</v>
      </c>
      <c r="R51" s="7">
        <v>2</v>
      </c>
      <c r="S51" s="4" t="s">
        <v>2</v>
      </c>
      <c r="T51" s="4" t="str">
        <f>+MID(H51,FIND("(",H51),LEN(H51)-FIND("(",H51)+1)</f>
        <v>(11)</v>
      </c>
      <c r="U51" s="4" t="s">
        <v>1</v>
      </c>
      <c r="V51" s="6">
        <f>40000*1/P51</f>
        <v>18.984337921214998</v>
      </c>
      <c r="W51" s="6">
        <f>5000/P51</f>
        <v>2.3730422401518747</v>
      </c>
    </row>
    <row r="52" spans="4:40" ht="37.799999999999997" customHeight="1" thickBot="1" x14ac:dyDescent="0.35">
      <c r="D52" s="7">
        <v>1</v>
      </c>
      <c r="E52" s="7" t="s">
        <v>560</v>
      </c>
      <c r="F52" s="8" t="s">
        <v>621</v>
      </c>
      <c r="G52" s="8" t="s">
        <v>620</v>
      </c>
      <c r="H52" s="8" t="s">
        <v>596</v>
      </c>
      <c r="I52" s="7" t="s">
        <v>619</v>
      </c>
      <c r="J52" s="7" t="s">
        <v>618</v>
      </c>
      <c r="K52" s="7" t="s">
        <v>617</v>
      </c>
      <c r="L52" s="7" t="s">
        <v>616</v>
      </c>
      <c r="M52" s="7" t="s">
        <v>374</v>
      </c>
      <c r="N52" s="7">
        <v>703</v>
      </c>
      <c r="O52" s="7" t="s">
        <v>124</v>
      </c>
      <c r="P52" s="7">
        <v>2804</v>
      </c>
      <c r="Q52" s="7">
        <v>0</v>
      </c>
      <c r="R52" s="7">
        <v>2</v>
      </c>
      <c r="S52" s="4" t="s">
        <v>2</v>
      </c>
      <c r="T52" s="4" t="str">
        <f>+MID(H52,FIND("(",H52),LEN(H52)-FIND("(",H52)+1)</f>
        <v>(11)</v>
      </c>
      <c r="U52" s="4" t="s">
        <v>1</v>
      </c>
      <c r="V52" s="6">
        <f>40000*1/P52</f>
        <v>14.265335235378032</v>
      </c>
      <c r="W52" s="6">
        <f>5000/P52</f>
        <v>1.783166904422254</v>
      </c>
    </row>
    <row r="53" spans="4:40" ht="40.200000000000003" customHeight="1" thickBot="1" x14ac:dyDescent="0.35">
      <c r="D53" s="7">
        <v>1</v>
      </c>
      <c r="E53" s="7" t="s">
        <v>560</v>
      </c>
      <c r="F53" s="8" t="s">
        <v>615</v>
      </c>
      <c r="G53" s="8" t="s">
        <v>614</v>
      </c>
      <c r="H53" s="8" t="s">
        <v>596</v>
      </c>
      <c r="I53" s="7" t="s">
        <v>613</v>
      </c>
      <c r="J53" s="7" t="s">
        <v>612</v>
      </c>
      <c r="K53" s="7" t="s">
        <v>611</v>
      </c>
      <c r="L53" s="7" t="s">
        <v>610</v>
      </c>
      <c r="M53" s="7" t="s">
        <v>419</v>
      </c>
      <c r="N53" s="7">
        <v>704</v>
      </c>
      <c r="O53" s="7" t="s">
        <v>124</v>
      </c>
      <c r="P53" s="7">
        <v>1774</v>
      </c>
      <c r="Q53" s="7">
        <v>0</v>
      </c>
      <c r="R53" s="7">
        <v>2</v>
      </c>
      <c r="S53" s="4" t="s">
        <v>2</v>
      </c>
      <c r="T53" s="4" t="str">
        <f>+MID(H53,FIND("(",H53),LEN(H53)-FIND("(",H53)+1)</f>
        <v>(11)</v>
      </c>
      <c r="U53" s="4" t="s">
        <v>1</v>
      </c>
      <c r="V53" s="6">
        <f>40000*1/P53</f>
        <v>22.547914317925592</v>
      </c>
      <c r="W53" s="6">
        <f>5000/P53</f>
        <v>2.818489289740699</v>
      </c>
    </row>
    <row r="54" spans="4:40" ht="43.8" customHeight="1" thickBot="1" x14ac:dyDescent="0.35">
      <c r="D54" s="7">
        <v>1</v>
      </c>
      <c r="E54" s="7" t="s">
        <v>307</v>
      </c>
      <c r="F54" s="8" t="s">
        <v>609</v>
      </c>
      <c r="G54" s="8" t="s">
        <v>608</v>
      </c>
      <c r="H54" s="8" t="s">
        <v>596</v>
      </c>
      <c r="I54" s="7" t="s">
        <v>607</v>
      </c>
      <c r="J54" s="7" t="s">
        <v>606</v>
      </c>
      <c r="K54" s="7" t="s">
        <v>544</v>
      </c>
      <c r="L54" s="7" t="s">
        <v>605</v>
      </c>
      <c r="M54" s="7" t="s">
        <v>471</v>
      </c>
      <c r="N54" s="7" t="s">
        <v>3</v>
      </c>
      <c r="O54" s="7" t="s">
        <v>124</v>
      </c>
      <c r="P54" s="7">
        <v>1627</v>
      </c>
      <c r="Q54" s="7">
        <v>0</v>
      </c>
      <c r="R54" s="7">
        <v>2</v>
      </c>
      <c r="S54" s="4" t="s">
        <v>2</v>
      </c>
      <c r="T54" s="4" t="str">
        <f>+MID(H54,FIND("(",H54),LEN(H54)-FIND("(",H54)+1)</f>
        <v>(11)</v>
      </c>
      <c r="U54" s="4" t="s">
        <v>1</v>
      </c>
      <c r="V54" s="6">
        <f>40000*1/P54</f>
        <v>24.585125998770742</v>
      </c>
      <c r="W54" s="6">
        <f>5000/P54</f>
        <v>3.0731407498463428</v>
      </c>
    </row>
    <row r="55" spans="4:40" ht="37.799999999999997" customHeight="1" thickBot="1" x14ac:dyDescent="0.35">
      <c r="D55" s="7">
        <v>1</v>
      </c>
      <c r="E55" s="7" t="s">
        <v>307</v>
      </c>
      <c r="F55" s="8" t="s">
        <v>604</v>
      </c>
      <c r="G55" s="8" t="s">
        <v>603</v>
      </c>
      <c r="H55" s="8" t="s">
        <v>596</v>
      </c>
      <c r="I55" s="7" t="s">
        <v>602</v>
      </c>
      <c r="J55" s="7" t="s">
        <v>601</v>
      </c>
      <c r="K55" s="7" t="s">
        <v>600</v>
      </c>
      <c r="L55" s="7" t="s">
        <v>599</v>
      </c>
      <c r="M55" s="7" t="s">
        <v>397</v>
      </c>
      <c r="N55" s="7" t="s">
        <v>3</v>
      </c>
      <c r="O55" s="7" t="s">
        <v>124</v>
      </c>
      <c r="P55" s="7">
        <v>1552</v>
      </c>
      <c r="Q55" s="7">
        <v>0</v>
      </c>
      <c r="R55" s="7">
        <v>2</v>
      </c>
      <c r="S55" s="4" t="s">
        <v>2</v>
      </c>
      <c r="T55" s="4" t="str">
        <f>+MID(H55,FIND("(",H55),LEN(H55)-FIND("(",H55)+1)</f>
        <v>(11)</v>
      </c>
      <c r="U55" s="4" t="s">
        <v>1</v>
      </c>
      <c r="V55" s="6">
        <f>40000*1/P55</f>
        <v>25.773195876288661</v>
      </c>
      <c r="W55" s="6">
        <f>5000/P55</f>
        <v>3.2216494845360826</v>
      </c>
    </row>
    <row r="56" spans="4:40" ht="42.6" customHeight="1" thickBot="1" x14ac:dyDescent="0.35">
      <c r="D56" s="7">
        <v>1</v>
      </c>
      <c r="E56" s="7" t="s">
        <v>307</v>
      </c>
      <c r="F56" s="8" t="s">
        <v>598</v>
      </c>
      <c r="G56" s="8" t="s">
        <v>597</v>
      </c>
      <c r="H56" s="8" t="s">
        <v>596</v>
      </c>
      <c r="I56" s="7" t="s">
        <v>595</v>
      </c>
      <c r="J56" s="7" t="s">
        <v>594</v>
      </c>
      <c r="K56" s="7" t="s">
        <v>335</v>
      </c>
      <c r="L56" s="7" t="s">
        <v>593</v>
      </c>
      <c r="M56" s="7" t="s">
        <v>335</v>
      </c>
      <c r="N56" s="7" t="s">
        <v>3</v>
      </c>
      <c r="O56" s="7" t="s">
        <v>124</v>
      </c>
      <c r="P56" s="7">
        <v>1825</v>
      </c>
      <c r="Q56" s="7">
        <v>0</v>
      </c>
      <c r="R56" s="7">
        <v>2</v>
      </c>
      <c r="S56" s="4" t="s">
        <v>2</v>
      </c>
      <c r="T56" s="4" t="str">
        <f>+MID(H56,FIND("(",H56),LEN(H56)-FIND("(",H56)+1)</f>
        <v>(11)</v>
      </c>
      <c r="U56" s="4" t="s">
        <v>1</v>
      </c>
      <c r="V56" s="6">
        <f>40000*1/P56</f>
        <v>21.917808219178081</v>
      </c>
      <c r="W56" s="6">
        <f>5000/P56</f>
        <v>2.7397260273972601</v>
      </c>
    </row>
    <row r="57" spans="4:40" ht="27" thickBot="1" x14ac:dyDescent="0.35">
      <c r="D57" s="7">
        <v>1</v>
      </c>
      <c r="E57" s="7" t="s">
        <v>307</v>
      </c>
      <c r="F57" s="8" t="s">
        <v>592</v>
      </c>
      <c r="G57" s="8" t="s">
        <v>591</v>
      </c>
      <c r="H57" s="8" t="s">
        <v>590</v>
      </c>
      <c r="I57" s="7">
        <v>79.099000000000004</v>
      </c>
      <c r="J57" s="7" t="s">
        <v>589</v>
      </c>
      <c r="K57" s="7">
        <v>0.3</v>
      </c>
      <c r="L57" s="7" t="s">
        <v>588</v>
      </c>
      <c r="M57" s="7">
        <v>0.29799999999999999</v>
      </c>
      <c r="N57" s="7" t="s">
        <v>3</v>
      </c>
      <c r="O57" s="7" t="s">
        <v>124</v>
      </c>
      <c r="P57" s="7">
        <v>1495.13</v>
      </c>
      <c r="Q57" s="7">
        <v>0</v>
      </c>
      <c r="R57" s="7">
        <v>2</v>
      </c>
      <c r="S57" s="4" t="s">
        <v>2</v>
      </c>
      <c r="T57" s="4" t="str">
        <f>+MID(H57,FIND("(",H57),LEN(H57)-FIND("(",H57)+1)</f>
        <v>(11)</v>
      </c>
      <c r="U57" s="4" t="s">
        <v>1</v>
      </c>
      <c r="V57" s="6">
        <f>40000*1/P57</f>
        <v>26.753526449205083</v>
      </c>
      <c r="W57" s="6">
        <f>5000/P57</f>
        <v>3.3441908061506354</v>
      </c>
    </row>
    <row r="58" spans="4:40" ht="66.599999999999994" thickBot="1" x14ac:dyDescent="0.35">
      <c r="D58" s="7">
        <v>1</v>
      </c>
      <c r="E58" s="7" t="s">
        <v>560</v>
      </c>
      <c r="F58" s="8" t="s">
        <v>587</v>
      </c>
      <c r="G58" s="8" t="s">
        <v>586</v>
      </c>
      <c r="H58" s="8" t="s">
        <v>585</v>
      </c>
      <c r="I58" s="7" t="s">
        <v>584</v>
      </c>
      <c r="J58" s="7" t="s">
        <v>583</v>
      </c>
      <c r="K58" s="7" t="s">
        <v>544</v>
      </c>
      <c r="L58" s="7" t="s">
        <v>582</v>
      </c>
      <c r="M58" s="7" t="s">
        <v>374</v>
      </c>
      <c r="N58" s="7" t="s">
        <v>3</v>
      </c>
      <c r="O58" s="7" t="s">
        <v>124</v>
      </c>
      <c r="P58" s="7">
        <v>3152</v>
      </c>
      <c r="Q58" s="7">
        <v>2.5999999999999999E-2</v>
      </c>
      <c r="R58" s="7">
        <v>2</v>
      </c>
      <c r="S58" s="4" t="s">
        <v>161</v>
      </c>
      <c r="T58" s="4" t="str">
        <f>+MID(H58,FIND("(",H58),LEN(H58)-FIND("(",H58)+1)</f>
        <v>(10;11)</v>
      </c>
      <c r="U58" s="4" t="s">
        <v>109</v>
      </c>
      <c r="V58" s="6">
        <f>40000*1/P58</f>
        <v>12.690355329949238</v>
      </c>
      <c r="W58" s="6">
        <f>5000/P58</f>
        <v>1.5862944162436547</v>
      </c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4:40" ht="66.599999999999994" thickBot="1" x14ac:dyDescent="0.35">
      <c r="D59" s="7">
        <v>1</v>
      </c>
      <c r="E59" s="7" t="s">
        <v>560</v>
      </c>
      <c r="F59" s="8" t="s">
        <v>581</v>
      </c>
      <c r="G59" s="8" t="s">
        <v>580</v>
      </c>
      <c r="H59" s="8" t="s">
        <v>573</v>
      </c>
      <c r="I59" s="7" t="s">
        <v>579</v>
      </c>
      <c r="J59" s="7" t="s">
        <v>578</v>
      </c>
      <c r="K59" s="7" t="s">
        <v>577</v>
      </c>
      <c r="L59" s="7" t="s">
        <v>576</v>
      </c>
      <c r="M59" s="7" t="s">
        <v>568</v>
      </c>
      <c r="N59" s="7" t="s">
        <v>3</v>
      </c>
      <c r="O59" s="7" t="s">
        <v>124</v>
      </c>
      <c r="P59" s="7">
        <v>1585</v>
      </c>
      <c r="Q59" s="7">
        <v>4.8000000000000001E-2</v>
      </c>
      <c r="R59" s="7">
        <v>2</v>
      </c>
      <c r="S59" s="4" t="s">
        <v>161</v>
      </c>
      <c r="T59" s="4" t="str">
        <f>+MID(H59,FIND("(",H59),LEN(H59)-FIND("(",H59)+1)</f>
        <v>(10;11)</v>
      </c>
      <c r="U59" s="4" t="s">
        <v>109</v>
      </c>
      <c r="V59" s="6">
        <f>40000*1/P59</f>
        <v>25.236593059936908</v>
      </c>
      <c r="W59" s="6">
        <f>5000/P59</f>
        <v>3.1545741324921135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4:40" ht="66.599999999999994" thickBot="1" x14ac:dyDescent="0.35">
      <c r="D60" s="7">
        <v>1</v>
      </c>
      <c r="E60" s="7" t="s">
        <v>560</v>
      </c>
      <c r="F60" s="8" t="s">
        <v>575</v>
      </c>
      <c r="G60" s="8" t="s">
        <v>574</v>
      </c>
      <c r="H60" s="8" t="s">
        <v>573</v>
      </c>
      <c r="I60" s="7" t="s">
        <v>572</v>
      </c>
      <c r="J60" s="7" t="s">
        <v>571</v>
      </c>
      <c r="K60" s="7" t="s">
        <v>570</v>
      </c>
      <c r="L60" s="7" t="s">
        <v>569</v>
      </c>
      <c r="M60" s="7" t="s">
        <v>568</v>
      </c>
      <c r="N60" s="7" t="s">
        <v>3</v>
      </c>
      <c r="O60" s="7" t="s">
        <v>124</v>
      </c>
      <c r="P60" s="7">
        <v>1560</v>
      </c>
      <c r="Q60" s="7">
        <v>4.8000000000000001E-2</v>
      </c>
      <c r="R60" s="7">
        <v>2</v>
      </c>
      <c r="S60" s="4" t="s">
        <v>161</v>
      </c>
      <c r="T60" s="4" t="str">
        <f>+MID(H60,FIND("(",H60),LEN(H60)-FIND("(",H60)+1)</f>
        <v>(10;11)</v>
      </c>
      <c r="U60" s="4" t="s">
        <v>109</v>
      </c>
      <c r="V60" s="6">
        <f>40000*1/P60</f>
        <v>25.641025641025642</v>
      </c>
      <c r="W60" s="6">
        <f>5000/P60</f>
        <v>3.2051282051282053</v>
      </c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4:40" ht="27" thickBot="1" x14ac:dyDescent="0.35">
      <c r="D61" s="7">
        <v>1</v>
      </c>
      <c r="E61" s="7" t="s">
        <v>560</v>
      </c>
      <c r="F61" s="8" t="s">
        <v>567</v>
      </c>
      <c r="G61" s="8" t="s">
        <v>566</v>
      </c>
      <c r="H61" s="8" t="s">
        <v>557</v>
      </c>
      <c r="I61" s="7" t="s">
        <v>565</v>
      </c>
      <c r="J61" s="7" t="s">
        <v>564</v>
      </c>
      <c r="K61" s="7" t="s">
        <v>563</v>
      </c>
      <c r="L61" s="7" t="s">
        <v>562</v>
      </c>
      <c r="M61" s="7" t="s">
        <v>561</v>
      </c>
      <c r="N61" s="7" t="s">
        <v>3</v>
      </c>
      <c r="O61" s="7" t="s">
        <v>124</v>
      </c>
      <c r="P61" s="7">
        <v>2088</v>
      </c>
      <c r="Q61" s="7">
        <v>0</v>
      </c>
      <c r="R61" s="7">
        <v>2</v>
      </c>
      <c r="S61" s="4" t="s">
        <v>2</v>
      </c>
      <c r="T61" s="4" t="str">
        <f>+MID(H61,FIND("(",H61),LEN(H61)-FIND("(",H61)+1)</f>
        <v>(11)</v>
      </c>
      <c r="U61" s="4" t="s">
        <v>1</v>
      </c>
      <c r="V61" s="6">
        <f>40000*1/P61</f>
        <v>19.157088122605366</v>
      </c>
      <c r="W61" s="6">
        <f>5000/P61</f>
        <v>2.3946360153256707</v>
      </c>
    </row>
    <row r="62" spans="4:40" ht="27" thickBot="1" x14ac:dyDescent="0.35">
      <c r="D62" s="7">
        <v>1</v>
      </c>
      <c r="E62" s="7" t="s">
        <v>560</v>
      </c>
      <c r="F62" s="8" t="s">
        <v>559</v>
      </c>
      <c r="G62" s="8" t="s">
        <v>558</v>
      </c>
      <c r="H62" s="8" t="s">
        <v>557</v>
      </c>
      <c r="I62" s="7" t="s">
        <v>556</v>
      </c>
      <c r="J62" s="7" t="s">
        <v>555</v>
      </c>
      <c r="K62" s="7" t="s">
        <v>553</v>
      </c>
      <c r="L62" s="7" t="s">
        <v>554</v>
      </c>
      <c r="M62" s="7" t="s">
        <v>553</v>
      </c>
      <c r="N62" s="7" t="s">
        <v>3</v>
      </c>
      <c r="O62" s="7" t="s">
        <v>124</v>
      </c>
      <c r="P62" s="7">
        <v>2229</v>
      </c>
      <c r="Q62" s="7">
        <v>0</v>
      </c>
      <c r="R62" s="7">
        <v>2</v>
      </c>
      <c r="S62" s="4" t="s">
        <v>2</v>
      </c>
      <c r="T62" s="4" t="str">
        <f>+MID(H62,FIND("(",H62),LEN(H62)-FIND("(",H62)+1)</f>
        <v>(11)</v>
      </c>
      <c r="U62" s="4" t="s">
        <v>1</v>
      </c>
      <c r="V62" s="6">
        <f>40000*1/P62</f>
        <v>17.94526693584567</v>
      </c>
      <c r="W62" s="6">
        <f>5000/P62</f>
        <v>2.2431583669807087</v>
      </c>
    </row>
    <row r="63" spans="4:40" ht="66.599999999999994" thickBot="1" x14ac:dyDescent="0.35">
      <c r="D63" s="7">
        <v>1</v>
      </c>
      <c r="E63" s="7" t="s">
        <v>307</v>
      </c>
      <c r="F63" s="8" t="s">
        <v>7</v>
      </c>
      <c r="G63" s="8" t="s">
        <v>552</v>
      </c>
      <c r="H63" s="8" t="s">
        <v>551</v>
      </c>
      <c r="I63" s="7" t="s">
        <v>550</v>
      </c>
      <c r="J63" s="7" t="s">
        <v>101</v>
      </c>
      <c r="K63" s="7" t="s">
        <v>549</v>
      </c>
      <c r="L63" s="7" t="s">
        <v>548</v>
      </c>
      <c r="M63" s="7" t="s">
        <v>101</v>
      </c>
      <c r="N63" s="7" t="s">
        <v>3</v>
      </c>
      <c r="O63" s="7" t="s">
        <v>124</v>
      </c>
      <c r="P63" s="7">
        <v>1191.3499999999999</v>
      </c>
      <c r="Q63" s="7">
        <v>3.4000000000000002E-2</v>
      </c>
      <c r="R63" s="7">
        <v>2</v>
      </c>
      <c r="S63" s="4" t="s">
        <v>161</v>
      </c>
      <c r="T63" s="4" t="str">
        <f>+MID(H63,FIND("(",H63),LEN(H63)-FIND("(",H63)+1)</f>
        <v>(10;11)</v>
      </c>
      <c r="U63" s="4" t="s">
        <v>109</v>
      </c>
      <c r="V63" s="6">
        <f>40000*1/P63</f>
        <v>33.575355688924333</v>
      </c>
      <c r="W63" s="6">
        <f>5000/P63</f>
        <v>4.1969194611155416</v>
      </c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4:40" ht="66.599999999999994" thickBot="1" x14ac:dyDescent="0.35">
      <c r="D64" s="7">
        <v>1</v>
      </c>
      <c r="E64" s="7" t="s">
        <v>307</v>
      </c>
      <c r="F64" s="8" t="s">
        <v>7</v>
      </c>
      <c r="G64" s="8" t="s">
        <v>547</v>
      </c>
      <c r="H64" s="8" t="s">
        <v>546</v>
      </c>
      <c r="I64" s="7" t="s">
        <v>545</v>
      </c>
      <c r="J64" s="7" t="s">
        <v>101</v>
      </c>
      <c r="K64" s="7" t="s">
        <v>544</v>
      </c>
      <c r="L64" s="7" t="s">
        <v>543</v>
      </c>
      <c r="M64" s="7" t="s">
        <v>101</v>
      </c>
      <c r="N64" s="7" t="s">
        <v>3</v>
      </c>
      <c r="O64" s="7" t="s">
        <v>124</v>
      </c>
      <c r="P64" s="7">
        <v>2643.26</v>
      </c>
      <c r="Q64" s="7">
        <v>0.02</v>
      </c>
      <c r="R64" s="7">
        <v>2</v>
      </c>
      <c r="S64" s="4" t="s">
        <v>161</v>
      </c>
      <c r="T64" s="4" t="str">
        <f>+MID(H64,FIND("(",H64),LEN(H64)-FIND("(",H64)+1)</f>
        <v>(10;11)</v>
      </c>
      <c r="U64" s="4" t="s">
        <v>109</v>
      </c>
      <c r="V64" s="6">
        <f>40000*1/P64</f>
        <v>15.132828401292342</v>
      </c>
      <c r="W64" s="6">
        <f>5000/P64</f>
        <v>1.8916035501615427</v>
      </c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4:40" ht="66.599999999999994" thickBot="1" x14ac:dyDescent="0.35">
      <c r="D65" s="7">
        <v>1</v>
      </c>
      <c r="E65" s="7" t="s">
        <v>307</v>
      </c>
      <c r="F65" s="8" t="s">
        <v>542</v>
      </c>
      <c r="G65" s="8" t="s">
        <v>541</v>
      </c>
      <c r="H65" s="8" t="s">
        <v>536</v>
      </c>
      <c r="I65" s="7" t="s">
        <v>540</v>
      </c>
      <c r="J65" s="7" t="s">
        <v>539</v>
      </c>
      <c r="K65" s="7" t="s">
        <v>440</v>
      </c>
      <c r="L65" s="7" t="s">
        <v>533</v>
      </c>
      <c r="M65" s="7" t="s">
        <v>440</v>
      </c>
      <c r="N65" s="7" t="s">
        <v>3</v>
      </c>
      <c r="O65" s="7" t="s">
        <v>124</v>
      </c>
      <c r="P65" s="7">
        <v>1478</v>
      </c>
      <c r="Q65" s="7">
        <v>4.4999999999999998E-2</v>
      </c>
      <c r="R65" s="7">
        <v>2</v>
      </c>
      <c r="S65" s="4" t="s">
        <v>161</v>
      </c>
      <c r="T65" s="4" t="str">
        <f>+MID(H65,FIND("(",H65),LEN(H65)-FIND("(",H65)+1)</f>
        <v>(CH3)3+CH3CClF2 (10;11)</v>
      </c>
      <c r="U65" s="4" t="s">
        <v>109</v>
      </c>
      <c r="V65" s="6">
        <f>40000*1/P65</f>
        <v>27.06359945872801</v>
      </c>
      <c r="W65" s="6">
        <f>5000/P65</f>
        <v>3.3829499323410013</v>
      </c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4:40" ht="66.599999999999994" thickBot="1" x14ac:dyDescent="0.35">
      <c r="D66" s="7">
        <v>1</v>
      </c>
      <c r="E66" s="7" t="s">
        <v>307</v>
      </c>
      <c r="F66" s="8" t="s">
        <v>538</v>
      </c>
      <c r="G66" s="8" t="s">
        <v>537</v>
      </c>
      <c r="H66" s="8" t="s">
        <v>536</v>
      </c>
      <c r="I66" s="7" t="s">
        <v>535</v>
      </c>
      <c r="J66" s="7" t="s">
        <v>534</v>
      </c>
      <c r="K66" s="7" t="s">
        <v>532</v>
      </c>
      <c r="L66" s="7" t="s">
        <v>533</v>
      </c>
      <c r="M66" s="7" t="s">
        <v>532</v>
      </c>
      <c r="N66" s="7" t="s">
        <v>3</v>
      </c>
      <c r="O66" s="7" t="s">
        <v>124</v>
      </c>
      <c r="P66" s="7">
        <v>1362</v>
      </c>
      <c r="Q66" s="7">
        <v>4.2000000000000003E-2</v>
      </c>
      <c r="R66" s="7">
        <v>2</v>
      </c>
      <c r="S66" s="4" t="s">
        <v>161</v>
      </c>
      <c r="T66" s="4" t="str">
        <f>+MID(H66,FIND("(",H66),LEN(H66)-FIND("(",H66)+1)</f>
        <v>(CH3)3+CH3CClF2 (10;11)</v>
      </c>
      <c r="U66" s="4" t="s">
        <v>109</v>
      </c>
      <c r="V66" s="6">
        <f>40000*1/P66</f>
        <v>29.368575624082233</v>
      </c>
      <c r="W66" s="6">
        <f>5000/P66</f>
        <v>3.6710719530102791</v>
      </c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4:40" ht="66.599999999999994" thickBot="1" x14ac:dyDescent="0.35">
      <c r="D67" s="7">
        <v>1</v>
      </c>
      <c r="E67" s="7" t="s">
        <v>307</v>
      </c>
      <c r="F67" s="8" t="s">
        <v>531</v>
      </c>
      <c r="G67" s="8" t="s">
        <v>530</v>
      </c>
      <c r="H67" s="8" t="s">
        <v>529</v>
      </c>
      <c r="I67" s="7" t="s">
        <v>528</v>
      </c>
      <c r="J67" s="7" t="s">
        <v>527</v>
      </c>
      <c r="K67" s="7" t="s">
        <v>525</v>
      </c>
      <c r="L67" s="7" t="s">
        <v>526</v>
      </c>
      <c r="M67" s="7" t="s">
        <v>525</v>
      </c>
      <c r="N67" s="7" t="s">
        <v>3</v>
      </c>
      <c r="O67" s="7" t="s">
        <v>124</v>
      </c>
      <c r="P67" s="7">
        <v>1084</v>
      </c>
      <c r="Q67" s="7">
        <v>8.9999999999999993E-3</v>
      </c>
      <c r="R67" s="7">
        <v>2</v>
      </c>
      <c r="S67" s="4" t="s">
        <v>161</v>
      </c>
      <c r="T67" s="4" t="str">
        <f>+MID(H67,FIND("(",H67),LEN(H67)-FIND("(",H67)+1)</f>
        <v>(10;11)</v>
      </c>
      <c r="U67" s="4" t="s">
        <v>109</v>
      </c>
      <c r="V67" s="6">
        <f>40000*1/P67</f>
        <v>36.900369003690038</v>
      </c>
      <c r="W67" s="6">
        <f>5000/P67</f>
        <v>4.6125461254612548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4:40" ht="40.200000000000003" thickBot="1" x14ac:dyDescent="0.35">
      <c r="D68" s="7">
        <v>1</v>
      </c>
      <c r="E68" s="7" t="s">
        <v>307</v>
      </c>
      <c r="F68" s="8" t="s">
        <v>524</v>
      </c>
      <c r="G68" s="8" t="s">
        <v>523</v>
      </c>
      <c r="H68" s="8" t="s">
        <v>509</v>
      </c>
      <c r="I68" s="7" t="s">
        <v>522</v>
      </c>
      <c r="J68" s="7" t="s">
        <v>521</v>
      </c>
      <c r="K68" s="7" t="s">
        <v>343</v>
      </c>
      <c r="L68" s="7" t="s">
        <v>520</v>
      </c>
      <c r="M68" s="7" t="s">
        <v>519</v>
      </c>
      <c r="N68" s="7" t="s">
        <v>3</v>
      </c>
      <c r="O68" s="7" t="s">
        <v>124</v>
      </c>
      <c r="P68" s="7">
        <v>2346</v>
      </c>
      <c r="Q68" s="7">
        <v>0</v>
      </c>
      <c r="R68" s="7">
        <v>2</v>
      </c>
      <c r="S68" s="4" t="s">
        <v>2</v>
      </c>
      <c r="T68" s="4" t="str">
        <f>+MID(H68,FIND("(",H68),LEN(H68)-FIND("(",H68)+1)</f>
        <v>(11)</v>
      </c>
      <c r="U68" s="4" t="s">
        <v>1</v>
      </c>
      <c r="V68" s="6">
        <f>40000*1/P68</f>
        <v>17.050298380221655</v>
      </c>
      <c r="W68" s="6">
        <f>5000/P68</f>
        <v>2.1312872975277068</v>
      </c>
    </row>
    <row r="69" spans="4:40" ht="40.200000000000003" thickBot="1" x14ac:dyDescent="0.35">
      <c r="D69" s="7">
        <v>1</v>
      </c>
      <c r="E69" s="7" t="s">
        <v>518</v>
      </c>
      <c r="F69" s="8" t="s">
        <v>517</v>
      </c>
      <c r="G69" s="8" t="s">
        <v>516</v>
      </c>
      <c r="H69" s="8" t="s">
        <v>509</v>
      </c>
      <c r="I69" s="7" t="s">
        <v>515</v>
      </c>
      <c r="J69" s="7" t="s">
        <v>514</v>
      </c>
      <c r="K69" s="7" t="s">
        <v>512</v>
      </c>
      <c r="L69" s="7" t="s">
        <v>513</v>
      </c>
      <c r="M69" s="7" t="s">
        <v>512</v>
      </c>
      <c r="N69" s="7" t="s">
        <v>3</v>
      </c>
      <c r="O69" s="7" t="s">
        <v>124</v>
      </c>
      <c r="P69" s="7">
        <v>3027</v>
      </c>
      <c r="Q69" s="7">
        <v>0</v>
      </c>
      <c r="R69" s="7">
        <v>2</v>
      </c>
      <c r="S69" s="4" t="s">
        <v>2</v>
      </c>
      <c r="T69" s="4" t="str">
        <f>+MID(H69,FIND("(",H69),LEN(H69)-FIND("(",H69)+1)</f>
        <v>(11)</v>
      </c>
      <c r="U69" s="4" t="s">
        <v>1</v>
      </c>
      <c r="V69" s="6">
        <f>40000*1/P69</f>
        <v>13.214403700033037</v>
      </c>
      <c r="W69" s="6">
        <f>5000/P69</f>
        <v>1.6518004625041296</v>
      </c>
    </row>
    <row r="70" spans="4:40" ht="40.200000000000003" thickBot="1" x14ac:dyDescent="0.35">
      <c r="D70" s="7">
        <v>1</v>
      </c>
      <c r="E70" s="7" t="s">
        <v>307</v>
      </c>
      <c r="F70" s="8" t="s">
        <v>511</v>
      </c>
      <c r="G70" s="8" t="s">
        <v>510</v>
      </c>
      <c r="H70" s="8" t="s">
        <v>509</v>
      </c>
      <c r="I70" s="14" t="s">
        <v>508</v>
      </c>
      <c r="J70" s="14" t="s">
        <v>403</v>
      </c>
      <c r="K70" s="14" t="s">
        <v>57</v>
      </c>
      <c r="L70" s="14" t="s">
        <v>507</v>
      </c>
      <c r="M70" s="14" t="s">
        <v>506</v>
      </c>
      <c r="N70" s="14" t="s">
        <v>3</v>
      </c>
      <c r="O70" s="14" t="s">
        <v>124</v>
      </c>
      <c r="P70" s="14">
        <v>1809</v>
      </c>
      <c r="Q70" s="7">
        <v>0</v>
      </c>
      <c r="R70" s="14">
        <v>2</v>
      </c>
      <c r="S70" s="4" t="s">
        <v>2</v>
      </c>
      <c r="T70" s="4" t="str">
        <f>+MID(H70,FIND("(",H70),LEN(H70)-FIND("(",H70)+1)</f>
        <v>(11)</v>
      </c>
      <c r="U70" s="4" t="s">
        <v>1</v>
      </c>
      <c r="V70" s="6">
        <f>40000*1/P70</f>
        <v>22.111663902708678</v>
      </c>
      <c r="W70" s="6">
        <f>5000/P70</f>
        <v>2.7639579878385847</v>
      </c>
    </row>
    <row r="71" spans="4:40" ht="27" thickBot="1" x14ac:dyDescent="0.35">
      <c r="D71" s="7">
        <v>1</v>
      </c>
      <c r="E71" s="7" t="s">
        <v>307</v>
      </c>
      <c r="F71" s="8" t="s">
        <v>505</v>
      </c>
      <c r="G71" s="8" t="s">
        <v>504</v>
      </c>
      <c r="H71" s="8" t="s">
        <v>503</v>
      </c>
      <c r="I71" s="14" t="s">
        <v>502</v>
      </c>
      <c r="J71" s="14">
        <v>1.18</v>
      </c>
      <c r="K71" s="14" t="s">
        <v>501</v>
      </c>
      <c r="L71" s="14" t="s">
        <v>500</v>
      </c>
      <c r="M71" s="14" t="s">
        <v>3</v>
      </c>
      <c r="N71" s="7" t="s">
        <v>3</v>
      </c>
      <c r="O71" s="14" t="s">
        <v>124</v>
      </c>
      <c r="P71" s="14">
        <v>3804.85</v>
      </c>
      <c r="Q71" s="7">
        <v>0</v>
      </c>
      <c r="R71" s="14">
        <v>2</v>
      </c>
      <c r="S71" s="4" t="s">
        <v>2</v>
      </c>
      <c r="T71" s="4" t="str">
        <f>+MID(H71,FIND("(",H71),LEN(H71)-FIND("(",H71)+1)</f>
        <v>(11)</v>
      </c>
      <c r="U71" s="4" t="s">
        <v>173</v>
      </c>
      <c r="V71" s="6">
        <f>40000*1/P71</f>
        <v>10.512898011748163</v>
      </c>
      <c r="W71" s="6">
        <f>5000/P71</f>
        <v>1.3141122514685204</v>
      </c>
    </row>
    <row r="72" spans="4:40" ht="66.599999999999994" thickBot="1" x14ac:dyDescent="0.35">
      <c r="D72" s="7">
        <v>1</v>
      </c>
      <c r="E72" s="7" t="s">
        <v>307</v>
      </c>
      <c r="F72" s="8" t="s">
        <v>499</v>
      </c>
      <c r="G72" s="8" t="s">
        <v>498</v>
      </c>
      <c r="H72" s="8" t="s">
        <v>497</v>
      </c>
      <c r="I72" s="14" t="s">
        <v>496</v>
      </c>
      <c r="J72" s="14" t="s">
        <v>430</v>
      </c>
      <c r="K72" s="14" t="s">
        <v>494</v>
      </c>
      <c r="L72" s="14" t="s">
        <v>495</v>
      </c>
      <c r="M72" s="14" t="s">
        <v>494</v>
      </c>
      <c r="N72" s="14" t="s">
        <v>3</v>
      </c>
      <c r="O72" s="14" t="s">
        <v>124</v>
      </c>
      <c r="P72" s="14">
        <v>1536</v>
      </c>
      <c r="Q72" s="7">
        <v>5.0000000000000001E-3</v>
      </c>
      <c r="R72" s="14">
        <v>2</v>
      </c>
      <c r="S72" s="4" t="s">
        <v>161</v>
      </c>
      <c r="T72" s="4" t="str">
        <f>+MID(H72,FIND("(",H72),LEN(H72)-FIND("(",H72)+1)</f>
        <v>(10;11)</v>
      </c>
      <c r="U72" s="4" t="s">
        <v>109</v>
      </c>
      <c r="V72" s="6">
        <f>40000*1/P72</f>
        <v>26.041666666666668</v>
      </c>
      <c r="W72" s="6">
        <f>5000/P72</f>
        <v>3.2552083333333335</v>
      </c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4:40" ht="27" thickBot="1" x14ac:dyDescent="0.35">
      <c r="D73" s="7">
        <v>1</v>
      </c>
      <c r="E73" s="7" t="s">
        <v>307</v>
      </c>
      <c r="F73" s="8" t="s">
        <v>493</v>
      </c>
      <c r="G73" s="8" t="s">
        <v>492</v>
      </c>
      <c r="H73" s="8" t="s">
        <v>486</v>
      </c>
      <c r="I73" s="14" t="s">
        <v>491</v>
      </c>
      <c r="J73" s="14" t="s">
        <v>490</v>
      </c>
      <c r="K73" s="14" t="s">
        <v>280</v>
      </c>
      <c r="L73" s="14" t="s">
        <v>489</v>
      </c>
      <c r="M73" s="14" t="s">
        <v>280</v>
      </c>
      <c r="N73" s="14" t="s">
        <v>3</v>
      </c>
      <c r="O73" s="14" t="s">
        <v>124</v>
      </c>
      <c r="P73" s="14">
        <v>2631</v>
      </c>
      <c r="Q73" s="7">
        <v>0</v>
      </c>
      <c r="R73" s="14">
        <v>2</v>
      </c>
      <c r="S73" s="4" t="s">
        <v>2</v>
      </c>
      <c r="T73" s="4" t="str">
        <f>+MID(H73,FIND("(",H73),LEN(H73)-FIND("(",H73)+1)</f>
        <v>(11)</v>
      </c>
      <c r="U73" s="4" t="s">
        <v>1</v>
      </c>
      <c r="V73" s="6">
        <f>40000*1/P73</f>
        <v>15.203344735841885</v>
      </c>
      <c r="W73" s="6">
        <f>5000/P73</f>
        <v>1.9004180919802356</v>
      </c>
    </row>
    <row r="74" spans="4:40" ht="27" thickBot="1" x14ac:dyDescent="0.35">
      <c r="D74" s="7">
        <v>1</v>
      </c>
      <c r="E74" s="7" t="s">
        <v>307</v>
      </c>
      <c r="F74" s="8" t="s">
        <v>488</v>
      </c>
      <c r="G74" s="8" t="s">
        <v>487</v>
      </c>
      <c r="H74" s="8" t="s">
        <v>486</v>
      </c>
      <c r="I74" s="7" t="s">
        <v>485</v>
      </c>
      <c r="J74" s="7" t="s">
        <v>484</v>
      </c>
      <c r="K74" s="7" t="s">
        <v>374</v>
      </c>
      <c r="L74" s="7" t="s">
        <v>483</v>
      </c>
      <c r="M74" s="7" t="s">
        <v>374</v>
      </c>
      <c r="N74" s="7" t="s">
        <v>3</v>
      </c>
      <c r="O74" s="7" t="s">
        <v>124</v>
      </c>
      <c r="P74" s="7">
        <v>3190</v>
      </c>
      <c r="Q74" s="7">
        <v>0</v>
      </c>
      <c r="R74" s="7">
        <v>2</v>
      </c>
      <c r="S74" s="4" t="s">
        <v>2</v>
      </c>
      <c r="T74" s="4" t="str">
        <f>+MID(H74,FIND("(",H74),LEN(H74)-FIND("(",H74)+1)</f>
        <v>(11)</v>
      </c>
      <c r="U74" s="4" t="s">
        <v>1</v>
      </c>
      <c r="V74" s="6">
        <f>40000*1/P74</f>
        <v>12.539184952978056</v>
      </c>
      <c r="W74" s="6">
        <f>5000/P74</f>
        <v>1.567398119122257</v>
      </c>
    </row>
    <row r="75" spans="4:40" ht="27" thickBot="1" x14ac:dyDescent="0.35">
      <c r="D75" s="7">
        <v>1</v>
      </c>
      <c r="E75" s="7" t="s">
        <v>307</v>
      </c>
      <c r="F75" s="8" t="s">
        <v>482</v>
      </c>
      <c r="G75" s="8" t="s">
        <v>481</v>
      </c>
      <c r="H75" s="13" t="s">
        <v>480</v>
      </c>
      <c r="I75" s="7" t="s">
        <v>479</v>
      </c>
      <c r="J75" s="7" t="s">
        <v>478</v>
      </c>
      <c r="K75" s="7">
        <v>0.28999999999999998</v>
      </c>
      <c r="L75" s="7" t="s">
        <v>477</v>
      </c>
      <c r="M75" s="7" t="s">
        <v>419</v>
      </c>
      <c r="N75" s="7" t="s">
        <v>3</v>
      </c>
      <c r="O75" s="7" t="s">
        <v>124</v>
      </c>
      <c r="P75" s="7">
        <v>3143</v>
      </c>
      <c r="Q75" s="7">
        <v>0</v>
      </c>
      <c r="R75" s="7">
        <v>2</v>
      </c>
      <c r="S75" s="4" t="s">
        <v>2</v>
      </c>
      <c r="T75" s="4" t="str">
        <f>+MID(H75,FIND("(",H75),LEN(H75)-FIND("(",H75)+1)</f>
        <v>(CH3)3 (11)</v>
      </c>
      <c r="U75" s="4" t="s">
        <v>1</v>
      </c>
      <c r="V75" s="6">
        <f>40000*1/P75</f>
        <v>12.726694241170856</v>
      </c>
      <c r="W75" s="6">
        <f>5000/P75</f>
        <v>1.590836780146357</v>
      </c>
    </row>
    <row r="76" spans="4:40" ht="27" thickBot="1" x14ac:dyDescent="0.35">
      <c r="D76" s="7">
        <v>1</v>
      </c>
      <c r="E76" s="7" t="s">
        <v>307</v>
      </c>
      <c r="F76" s="8" t="s">
        <v>476</v>
      </c>
      <c r="G76" s="8" t="s">
        <v>475</v>
      </c>
      <c r="H76" s="13" t="s">
        <v>456</v>
      </c>
      <c r="I76" s="7" t="s">
        <v>474</v>
      </c>
      <c r="J76" s="7" t="s">
        <v>473</v>
      </c>
      <c r="K76" s="7" t="s">
        <v>471</v>
      </c>
      <c r="L76" s="7" t="s">
        <v>472</v>
      </c>
      <c r="M76" s="7" t="s">
        <v>471</v>
      </c>
      <c r="N76" s="7" t="s">
        <v>3</v>
      </c>
      <c r="O76" s="7" t="s">
        <v>124</v>
      </c>
      <c r="P76" s="7">
        <v>2526</v>
      </c>
      <c r="Q76" s="7">
        <v>0</v>
      </c>
      <c r="R76" s="7">
        <v>2</v>
      </c>
      <c r="S76" s="4" t="s">
        <v>2</v>
      </c>
      <c r="T76" s="4" t="str">
        <f>+MID(H76,FIND("(",H76),LEN(H76)-FIND("(",H76)+1)</f>
        <v>(CH3)3 (11)</v>
      </c>
      <c r="U76" s="4" t="s">
        <v>1</v>
      </c>
      <c r="V76" s="6">
        <f>40000*1/P76</f>
        <v>15.835312747426762</v>
      </c>
      <c r="W76" s="6">
        <f>5000/P76</f>
        <v>1.9794140934283453</v>
      </c>
    </row>
    <row r="77" spans="4:40" ht="27" thickBot="1" x14ac:dyDescent="0.35">
      <c r="D77" s="7">
        <v>1</v>
      </c>
      <c r="E77" s="7" t="s">
        <v>307</v>
      </c>
      <c r="F77" s="8" t="s">
        <v>470</v>
      </c>
      <c r="G77" s="8" t="s">
        <v>469</v>
      </c>
      <c r="H77" s="13" t="s">
        <v>456</v>
      </c>
      <c r="I77" s="7" t="s">
        <v>468</v>
      </c>
      <c r="J77" s="7" t="s">
        <v>467</v>
      </c>
      <c r="K77" s="7" t="s">
        <v>419</v>
      </c>
      <c r="L77" s="7" t="s">
        <v>466</v>
      </c>
      <c r="M77" s="7" t="s">
        <v>419</v>
      </c>
      <c r="N77" s="7" t="s">
        <v>3</v>
      </c>
      <c r="O77" s="7" t="s">
        <v>124</v>
      </c>
      <c r="P77" s="7">
        <v>3085</v>
      </c>
      <c r="Q77" s="7">
        <v>0</v>
      </c>
      <c r="R77" s="7">
        <v>2</v>
      </c>
      <c r="S77" s="4" t="s">
        <v>2</v>
      </c>
      <c r="T77" s="4" t="str">
        <f>+MID(H77,FIND("(",H77),LEN(H77)-FIND("(",H77)+1)</f>
        <v>(CH3)3 (11)</v>
      </c>
      <c r="U77" s="4" t="s">
        <v>1</v>
      </c>
      <c r="V77" s="6">
        <f>40000*1/P77</f>
        <v>12.965964343598054</v>
      </c>
      <c r="W77" s="6">
        <f>5000/P77</f>
        <v>1.6207455429497568</v>
      </c>
    </row>
    <row r="78" spans="4:40" ht="27" thickBot="1" x14ac:dyDescent="0.35">
      <c r="D78" s="7">
        <v>1</v>
      </c>
      <c r="E78" s="7" t="s">
        <v>465</v>
      </c>
      <c r="F78" s="8" t="s">
        <v>464</v>
      </c>
      <c r="G78" s="8" t="s">
        <v>463</v>
      </c>
      <c r="H78" s="13" t="s">
        <v>462</v>
      </c>
      <c r="I78" s="7" t="s">
        <v>461</v>
      </c>
      <c r="J78" s="7" t="s">
        <v>460</v>
      </c>
      <c r="K78" s="7">
        <v>0.26</v>
      </c>
      <c r="L78" s="7" t="s">
        <v>459</v>
      </c>
      <c r="M78" s="7" t="s">
        <v>452</v>
      </c>
      <c r="N78" s="7" t="s">
        <v>3</v>
      </c>
      <c r="O78" s="7" t="s">
        <v>124</v>
      </c>
      <c r="P78" s="7">
        <v>2729</v>
      </c>
      <c r="Q78" s="7">
        <v>0</v>
      </c>
      <c r="R78" s="7">
        <v>2</v>
      </c>
      <c r="S78" s="4" t="s">
        <v>2</v>
      </c>
      <c r="T78" s="4" t="str">
        <f>+MID(H78,FIND("(",H78),LEN(H78)-FIND("(",H78)+1)</f>
        <v>(CH3)3(11)</v>
      </c>
      <c r="U78" s="4" t="s">
        <v>1</v>
      </c>
      <c r="V78" s="6">
        <f>40000*1/P78</f>
        <v>14.657383657017222</v>
      </c>
      <c r="W78" s="6">
        <f>5000/P78</f>
        <v>1.8321729571271528</v>
      </c>
    </row>
    <row r="79" spans="4:40" ht="27" thickBot="1" x14ac:dyDescent="0.35">
      <c r="D79" s="7">
        <v>1</v>
      </c>
      <c r="E79" s="7" t="s">
        <v>307</v>
      </c>
      <c r="F79" s="8" t="s">
        <v>458</v>
      </c>
      <c r="G79" s="8" t="s">
        <v>457</v>
      </c>
      <c r="H79" s="13" t="s">
        <v>456</v>
      </c>
      <c r="I79" s="7" t="s">
        <v>455</v>
      </c>
      <c r="J79" s="7" t="s">
        <v>454</v>
      </c>
      <c r="K79" s="7" t="s">
        <v>452</v>
      </c>
      <c r="L79" s="7" t="s">
        <v>453</v>
      </c>
      <c r="M79" s="7" t="s">
        <v>452</v>
      </c>
      <c r="N79" s="7" t="s">
        <v>3</v>
      </c>
      <c r="O79" s="7" t="s">
        <v>124</v>
      </c>
      <c r="P79" s="7">
        <v>2592</v>
      </c>
      <c r="Q79" s="7">
        <v>0</v>
      </c>
      <c r="R79" s="7">
        <v>2</v>
      </c>
      <c r="S79" s="4" t="s">
        <v>2</v>
      </c>
      <c r="T79" s="4" t="str">
        <f>+MID(H79,FIND("(",H79),LEN(H79)-FIND("(",H79)+1)</f>
        <v>(CH3)3 (11)</v>
      </c>
      <c r="U79" s="4" t="s">
        <v>1</v>
      </c>
      <c r="V79" s="6">
        <f>40000*1/P79</f>
        <v>15.432098765432098</v>
      </c>
      <c r="W79" s="6">
        <f>5000/P79</f>
        <v>1.9290123456790123</v>
      </c>
    </row>
    <row r="80" spans="4:40" ht="27" thickBot="1" x14ac:dyDescent="0.35">
      <c r="D80" s="7">
        <v>1</v>
      </c>
      <c r="E80" s="7" t="s">
        <v>307</v>
      </c>
      <c r="F80" s="8" t="s">
        <v>451</v>
      </c>
      <c r="G80" s="8" t="s">
        <v>450</v>
      </c>
      <c r="H80" s="13" t="s">
        <v>449</v>
      </c>
      <c r="I80" s="7" t="s">
        <v>448</v>
      </c>
      <c r="J80" s="7" t="s">
        <v>447</v>
      </c>
      <c r="K80" s="7" t="s">
        <v>298</v>
      </c>
      <c r="L80" s="7" t="s">
        <v>446</v>
      </c>
      <c r="M80" s="7" t="s">
        <v>298</v>
      </c>
      <c r="N80" s="7" t="s">
        <v>3</v>
      </c>
      <c r="O80" s="7" t="s">
        <v>124</v>
      </c>
      <c r="P80" s="7">
        <v>2280</v>
      </c>
      <c r="Q80" s="7">
        <v>0</v>
      </c>
      <c r="R80" s="7">
        <v>2</v>
      </c>
      <c r="S80" s="4" t="s">
        <v>2</v>
      </c>
      <c r="T80" s="4" t="str">
        <f>+MID(H80,FIND("(",H80),LEN(H80)-FIND("(",H80)+1)</f>
        <v>(11)</v>
      </c>
      <c r="U80" s="4" t="s">
        <v>1</v>
      </c>
      <c r="V80" s="6">
        <f>40000*1/P80</f>
        <v>17.543859649122808</v>
      </c>
      <c r="W80" s="6">
        <f>5000/P80</f>
        <v>2.192982456140351</v>
      </c>
    </row>
    <row r="81" spans="4:23" ht="53.4" thickBot="1" x14ac:dyDescent="0.35">
      <c r="D81" s="7">
        <v>1</v>
      </c>
      <c r="E81" s="7" t="s">
        <v>307</v>
      </c>
      <c r="F81" s="8" t="s">
        <v>445</v>
      </c>
      <c r="G81" s="8" t="s">
        <v>444</v>
      </c>
      <c r="H81" s="8" t="s">
        <v>443</v>
      </c>
      <c r="I81" s="7">
        <v>108.4</v>
      </c>
      <c r="J81" s="7" t="s">
        <v>442</v>
      </c>
      <c r="K81" s="7">
        <v>0.1</v>
      </c>
      <c r="L81" s="7" t="s">
        <v>441</v>
      </c>
      <c r="M81" s="7" t="s">
        <v>440</v>
      </c>
      <c r="N81" s="7" t="s">
        <v>3</v>
      </c>
      <c r="O81" s="7" t="s">
        <v>124</v>
      </c>
      <c r="P81" s="7">
        <v>2440</v>
      </c>
      <c r="Q81" s="7">
        <v>0</v>
      </c>
      <c r="R81" s="7">
        <v>2</v>
      </c>
      <c r="S81" s="4" t="s">
        <v>2</v>
      </c>
      <c r="T81" s="4" t="str">
        <f>+MID(H81,FIND("(",H81),LEN(H81)-FIND("(",H81)+1)</f>
        <v>(11)</v>
      </c>
      <c r="U81" s="4" t="s">
        <v>1</v>
      </c>
      <c r="V81" s="6">
        <f>40000*1/P81</f>
        <v>16.393442622950818</v>
      </c>
      <c r="W81" s="6">
        <f>5000/P81</f>
        <v>2.0491803278688523</v>
      </c>
    </row>
    <row r="82" spans="4:23" ht="27" thickBot="1" x14ac:dyDescent="0.35">
      <c r="D82" s="7">
        <v>1</v>
      </c>
      <c r="E82" s="7" t="s">
        <v>307</v>
      </c>
      <c r="F82" s="8" t="s">
        <v>439</v>
      </c>
      <c r="G82" s="8" t="s">
        <v>438</v>
      </c>
      <c r="H82" s="8" t="s">
        <v>437</v>
      </c>
      <c r="I82" s="7" t="s">
        <v>436</v>
      </c>
      <c r="J82" s="7" t="s">
        <v>435</v>
      </c>
      <c r="K82" s="7" t="s">
        <v>397</v>
      </c>
      <c r="L82" s="7" t="s">
        <v>434</v>
      </c>
      <c r="M82" s="7" t="s">
        <v>397</v>
      </c>
      <c r="N82" s="7" t="s">
        <v>3</v>
      </c>
      <c r="O82" s="7" t="s">
        <v>124</v>
      </c>
      <c r="P82" s="7">
        <v>1505</v>
      </c>
      <c r="Q82" s="7">
        <v>0</v>
      </c>
      <c r="R82" s="7">
        <v>2</v>
      </c>
      <c r="S82" s="4" t="s">
        <v>2</v>
      </c>
      <c r="T82" s="4" t="str">
        <f>+MID(H82,FIND("(",H82),LEN(H82)-FIND("(",H82)+1)</f>
        <v>(11)</v>
      </c>
      <c r="U82" s="4" t="s">
        <v>1</v>
      </c>
      <c r="V82" s="6">
        <f>40000*1/P82</f>
        <v>26.578073089700997</v>
      </c>
      <c r="W82" s="6">
        <f>5000/P82</f>
        <v>3.3222591362126246</v>
      </c>
    </row>
    <row r="83" spans="4:23" ht="40.200000000000003" thickBot="1" x14ac:dyDescent="0.35">
      <c r="D83" s="7">
        <v>1</v>
      </c>
      <c r="E83" s="7" t="s">
        <v>307</v>
      </c>
      <c r="F83" s="8" t="s">
        <v>433</v>
      </c>
      <c r="G83" s="8" t="s">
        <v>432</v>
      </c>
      <c r="H83" s="8" t="s">
        <v>431</v>
      </c>
      <c r="I83" s="7">
        <v>101.6</v>
      </c>
      <c r="J83" s="7" t="s">
        <v>430</v>
      </c>
      <c r="K83" s="7">
        <v>8.3000000000000004E-2</v>
      </c>
      <c r="L83" s="7" t="s">
        <v>429</v>
      </c>
      <c r="M83" s="7" t="s">
        <v>428</v>
      </c>
      <c r="N83" s="7" t="s">
        <v>3</v>
      </c>
      <c r="O83" s="7" t="s">
        <v>124</v>
      </c>
      <c r="P83" s="7">
        <v>1508</v>
      </c>
      <c r="Q83" s="7">
        <v>0</v>
      </c>
      <c r="R83" s="7">
        <v>2</v>
      </c>
      <c r="S83" s="4" t="s">
        <v>2</v>
      </c>
      <c r="T83" s="4" t="str">
        <f>+MID(H83,FIND("(",H83),LEN(H83)-FIND("(",H83)+1)</f>
        <v>(11)</v>
      </c>
      <c r="U83" s="4" t="s">
        <v>1</v>
      </c>
      <c r="V83" s="6">
        <f>40000*1/P83</f>
        <v>26.525198938992041</v>
      </c>
      <c r="W83" s="6">
        <f>5000/P83</f>
        <v>3.3156498673740051</v>
      </c>
    </row>
    <row r="84" spans="4:23" ht="40.200000000000003" thickBot="1" x14ac:dyDescent="0.35">
      <c r="D84" s="7">
        <v>1</v>
      </c>
      <c r="E84" s="7" t="s">
        <v>307</v>
      </c>
      <c r="F84" s="8" t="s">
        <v>427</v>
      </c>
      <c r="G84" s="8" t="s">
        <v>426</v>
      </c>
      <c r="H84" s="8" t="s">
        <v>425</v>
      </c>
      <c r="I84" s="7">
        <v>97.87</v>
      </c>
      <c r="J84" s="7" t="s">
        <v>101</v>
      </c>
      <c r="K84" s="7">
        <v>0.15</v>
      </c>
      <c r="L84" s="7" t="s">
        <v>342</v>
      </c>
      <c r="M84" s="7" t="s">
        <v>101</v>
      </c>
      <c r="N84" s="7" t="s">
        <v>223</v>
      </c>
      <c r="O84" s="7">
        <v>0.27800000000000002</v>
      </c>
      <c r="P84" s="7">
        <v>1622.91</v>
      </c>
      <c r="Q84" s="7">
        <v>0</v>
      </c>
      <c r="R84" s="7">
        <v>1</v>
      </c>
      <c r="S84" s="4" t="s">
        <v>2</v>
      </c>
      <c r="T84" s="4" t="str">
        <f>+MID(H84,FIND("(",H84),LEN(H84)-FIND("(",H84)+1)</f>
        <v>(11)</v>
      </c>
      <c r="U84" s="4" t="s">
        <v>1</v>
      </c>
      <c r="V84" s="6">
        <f>40000*1/P84</f>
        <v>24.647084557985345</v>
      </c>
      <c r="W84" s="6">
        <f>5000/P84</f>
        <v>3.0808855697481681</v>
      </c>
    </row>
    <row r="85" spans="4:23" ht="40.200000000000003" thickBot="1" x14ac:dyDescent="0.35">
      <c r="D85" s="7">
        <v>1</v>
      </c>
      <c r="E85" s="7" t="s">
        <v>307</v>
      </c>
      <c r="F85" s="8" t="s">
        <v>424</v>
      </c>
      <c r="G85" s="8" t="s">
        <v>423</v>
      </c>
      <c r="H85" s="8" t="s">
        <v>422</v>
      </c>
      <c r="I85" s="7">
        <v>90.4</v>
      </c>
      <c r="J85" s="7" t="s">
        <v>421</v>
      </c>
      <c r="K85" s="7">
        <v>0.28999999999999998</v>
      </c>
      <c r="L85" s="7" t="s">
        <v>420</v>
      </c>
      <c r="M85" s="7" t="s">
        <v>419</v>
      </c>
      <c r="N85" s="7" t="s">
        <v>3</v>
      </c>
      <c r="O85" s="7" t="s">
        <v>124</v>
      </c>
      <c r="P85" s="7">
        <v>2138</v>
      </c>
      <c r="Q85" s="7">
        <v>0</v>
      </c>
      <c r="R85" s="7">
        <v>2</v>
      </c>
      <c r="S85" s="4" t="s">
        <v>2</v>
      </c>
      <c r="T85" s="4" t="str">
        <f>+MID(H85,FIND("(",H85),LEN(H85)-FIND("(",H85)+1)</f>
        <v>(11)</v>
      </c>
      <c r="U85" s="4" t="s">
        <v>1</v>
      </c>
      <c r="V85" s="6">
        <f>40000*1/P85</f>
        <v>18.709073900841908</v>
      </c>
      <c r="W85" s="6">
        <f>5000/P85</f>
        <v>2.3386342376052385</v>
      </c>
    </row>
    <row r="86" spans="4:23" ht="37.799999999999997" customHeight="1" thickBot="1" x14ac:dyDescent="0.35">
      <c r="D86" s="7">
        <v>1</v>
      </c>
      <c r="E86" s="7" t="s">
        <v>307</v>
      </c>
      <c r="F86" s="8" t="s">
        <v>418</v>
      </c>
      <c r="G86" s="8" t="s">
        <v>417</v>
      </c>
      <c r="H86" s="8" t="s">
        <v>416</v>
      </c>
      <c r="I86" s="7">
        <v>107.5</v>
      </c>
      <c r="J86" s="7" t="s">
        <v>415</v>
      </c>
      <c r="K86" s="7">
        <v>0.37</v>
      </c>
      <c r="L86" s="7" t="s">
        <v>414</v>
      </c>
      <c r="M86" s="7" t="s">
        <v>413</v>
      </c>
      <c r="N86" s="7" t="s">
        <v>3</v>
      </c>
      <c r="O86" s="7" t="s">
        <v>124</v>
      </c>
      <c r="P86" s="7">
        <v>3607</v>
      </c>
      <c r="Q86" s="7">
        <v>0</v>
      </c>
      <c r="R86" s="7">
        <v>2</v>
      </c>
      <c r="S86" s="4" t="s">
        <v>2</v>
      </c>
      <c r="T86" s="4" t="str">
        <f>+MID(H86,FIND("(",H86),LEN(H86)-FIND("(",H86)+1)</f>
        <v>(11)</v>
      </c>
      <c r="U86" s="4" t="s">
        <v>1</v>
      </c>
      <c r="V86" s="6">
        <f>40000*1/P86</f>
        <v>11.089548100914888</v>
      </c>
      <c r="W86" s="6">
        <f>5000/P86</f>
        <v>1.386193512614361</v>
      </c>
    </row>
    <row r="87" spans="4:23" ht="40.200000000000003" thickBot="1" x14ac:dyDescent="0.35">
      <c r="D87" s="7">
        <v>1</v>
      </c>
      <c r="E87" s="7" t="s">
        <v>307</v>
      </c>
      <c r="F87" s="8" t="s">
        <v>412</v>
      </c>
      <c r="G87" s="8" t="s">
        <v>411</v>
      </c>
      <c r="H87" s="8" t="s">
        <v>410</v>
      </c>
      <c r="I87" s="7">
        <v>105.7</v>
      </c>
      <c r="J87" s="7" t="s">
        <v>409</v>
      </c>
      <c r="K87" s="7">
        <v>0.32</v>
      </c>
      <c r="L87" s="7" t="s">
        <v>408</v>
      </c>
      <c r="M87" s="7" t="s">
        <v>335</v>
      </c>
      <c r="N87" s="7" t="s">
        <v>3</v>
      </c>
      <c r="O87" s="7" t="s">
        <v>124</v>
      </c>
      <c r="P87" s="7">
        <v>3245</v>
      </c>
      <c r="Q87" s="7">
        <v>0</v>
      </c>
      <c r="R87" s="7">
        <v>2</v>
      </c>
      <c r="S87" s="4" t="s">
        <v>2</v>
      </c>
      <c r="T87" s="4" t="str">
        <f>+MID(H87,FIND("(",H87),LEN(H87)-FIND("(",H87)+1)</f>
        <v>(11)</v>
      </c>
      <c r="U87" s="4" t="s">
        <v>1</v>
      </c>
      <c r="V87" s="6">
        <f>40000*1/P87</f>
        <v>12.326656394453005</v>
      </c>
      <c r="W87" s="6">
        <f>5000/P87</f>
        <v>1.5408320493066257</v>
      </c>
    </row>
    <row r="88" spans="4:23" ht="53.4" thickBot="1" x14ac:dyDescent="0.35">
      <c r="D88" s="7">
        <v>1</v>
      </c>
      <c r="E88" s="7" t="s">
        <v>307</v>
      </c>
      <c r="F88" s="8" t="s">
        <v>407</v>
      </c>
      <c r="G88" s="8" t="s">
        <v>406</v>
      </c>
      <c r="H88" s="8" t="s">
        <v>405</v>
      </c>
      <c r="I88" s="7" t="s">
        <v>404</v>
      </c>
      <c r="J88" s="7" t="s">
        <v>403</v>
      </c>
      <c r="K88" s="7">
        <v>8.1000000000000003E-2</v>
      </c>
      <c r="L88" s="7" t="s">
        <v>402</v>
      </c>
      <c r="M88" s="7" t="s">
        <v>401</v>
      </c>
      <c r="N88" s="7" t="s">
        <v>3</v>
      </c>
      <c r="O88" s="7" t="s">
        <v>124</v>
      </c>
      <c r="P88" s="7">
        <v>1805</v>
      </c>
      <c r="Q88" s="7">
        <v>0</v>
      </c>
      <c r="R88" s="7">
        <v>2</v>
      </c>
      <c r="S88" s="4" t="s">
        <v>2</v>
      </c>
      <c r="T88" s="4" t="str">
        <f>+MID(H88,FIND("(",H88),LEN(H88)-FIND("(",H88)+1)</f>
        <v>(CH3)3+ CH3CH2CH2+CH2CH3 (11)</v>
      </c>
      <c r="U88" s="4" t="s">
        <v>1</v>
      </c>
      <c r="V88" s="6">
        <f>40000*1/P88</f>
        <v>22.1606648199446</v>
      </c>
      <c r="W88" s="6">
        <f>5000/P88</f>
        <v>2.770083102493075</v>
      </c>
    </row>
    <row r="89" spans="4:23" ht="27" thickBot="1" x14ac:dyDescent="0.35">
      <c r="D89" s="7">
        <v>1</v>
      </c>
      <c r="E89" s="7" t="s">
        <v>307</v>
      </c>
      <c r="F89" s="8" t="s">
        <v>7</v>
      </c>
      <c r="G89" s="8" t="s">
        <v>400</v>
      </c>
      <c r="H89" s="8" t="s">
        <v>399</v>
      </c>
      <c r="I89" s="7" t="s">
        <v>398</v>
      </c>
      <c r="J89" s="7">
        <v>4.4800000000000004</v>
      </c>
      <c r="K89" s="7" t="s">
        <v>397</v>
      </c>
      <c r="L89" s="7" t="s">
        <v>396</v>
      </c>
      <c r="M89" s="7" t="s">
        <v>395</v>
      </c>
      <c r="N89" s="7" t="s">
        <v>3</v>
      </c>
      <c r="O89" s="7" t="s">
        <v>124</v>
      </c>
      <c r="P89" s="7">
        <v>1953.7</v>
      </c>
      <c r="Q89" s="7">
        <v>0</v>
      </c>
      <c r="R89" s="7">
        <v>2</v>
      </c>
      <c r="S89" s="4" t="s">
        <v>2</v>
      </c>
      <c r="T89" s="4" t="str">
        <f>+MID(H89,FIND("(",H89),LEN(H89)-FIND("(",H89)+1)</f>
        <v>(11)</v>
      </c>
      <c r="U89" s="4" t="s">
        <v>173</v>
      </c>
      <c r="V89" s="6">
        <f>40000*1/P89</f>
        <v>20.473972462507039</v>
      </c>
      <c r="W89" s="6">
        <f>5000/P89</f>
        <v>2.5592465578133798</v>
      </c>
    </row>
    <row r="90" spans="4:23" ht="79.8" thickBot="1" x14ac:dyDescent="0.35">
      <c r="D90" s="7">
        <v>1</v>
      </c>
      <c r="E90" s="7" t="s">
        <v>307</v>
      </c>
      <c r="F90" s="8" t="s">
        <v>394</v>
      </c>
      <c r="G90" s="8" t="s">
        <v>393</v>
      </c>
      <c r="H90" s="8" t="s">
        <v>392</v>
      </c>
      <c r="I90" s="7" t="s">
        <v>391</v>
      </c>
      <c r="J90" s="7" t="s">
        <v>390</v>
      </c>
      <c r="K90" s="7" t="s">
        <v>388</v>
      </c>
      <c r="L90" s="7" t="s">
        <v>389</v>
      </c>
      <c r="M90" s="7" t="s">
        <v>388</v>
      </c>
      <c r="N90" s="7" t="s">
        <v>3</v>
      </c>
      <c r="O90" s="7" t="s">
        <v>124</v>
      </c>
      <c r="P90" s="7">
        <v>2265</v>
      </c>
      <c r="Q90" s="7">
        <v>0</v>
      </c>
      <c r="R90" s="7">
        <v>2</v>
      </c>
      <c r="S90" s="4" t="s">
        <v>2</v>
      </c>
      <c r="T90" s="4" t="str">
        <f>+MID(H90,FIND("(",H90),LEN(H90)-FIND("(",H90)+1)</f>
        <v>(11)</v>
      </c>
      <c r="U90" s="4" t="s">
        <v>1</v>
      </c>
      <c r="V90" s="6">
        <f>40000*1/P90</f>
        <v>17.660044150110377</v>
      </c>
      <c r="W90" s="6">
        <f>5000/P90</f>
        <v>2.2075055187637971</v>
      </c>
    </row>
    <row r="91" spans="4:23" ht="66.599999999999994" thickBot="1" x14ac:dyDescent="0.35">
      <c r="D91" s="7">
        <v>1</v>
      </c>
      <c r="E91" s="7" t="s">
        <v>307</v>
      </c>
      <c r="F91" s="8" t="s">
        <v>387</v>
      </c>
      <c r="G91" s="8" t="s">
        <v>386</v>
      </c>
      <c r="H91" s="8" t="s">
        <v>385</v>
      </c>
      <c r="I91" s="7" t="s">
        <v>384</v>
      </c>
      <c r="J91" s="7">
        <v>3.69</v>
      </c>
      <c r="K91" s="7" t="s">
        <v>383</v>
      </c>
      <c r="L91" s="7" t="s">
        <v>382</v>
      </c>
      <c r="M91" s="7" t="s">
        <v>381</v>
      </c>
      <c r="N91" s="7" t="s">
        <v>3</v>
      </c>
      <c r="O91" s="7" t="s">
        <v>124</v>
      </c>
      <c r="P91" s="7">
        <v>1765.4</v>
      </c>
      <c r="Q91" s="7">
        <v>0</v>
      </c>
      <c r="R91" s="7">
        <v>2</v>
      </c>
      <c r="S91" s="4" t="s">
        <v>2</v>
      </c>
      <c r="T91" s="4" t="str">
        <f>+MID(H91,FIND("(",H91),LEN(H91)-FIND("(",H91)+1)</f>
        <v>(CH2)2CH3+(CH3)2CH-CH2-CH3 (11)</v>
      </c>
      <c r="U91" s="4" t="s">
        <v>1</v>
      </c>
      <c r="V91" s="6">
        <f>40000*1/P91</f>
        <v>22.657754616517501</v>
      </c>
      <c r="W91" s="6">
        <f>5000/P91</f>
        <v>2.8322193270646876</v>
      </c>
    </row>
    <row r="92" spans="4:23" ht="53.4" thickBot="1" x14ac:dyDescent="0.35">
      <c r="D92" s="7">
        <v>1</v>
      </c>
      <c r="E92" s="7" t="s">
        <v>307</v>
      </c>
      <c r="F92" s="8" t="s">
        <v>380</v>
      </c>
      <c r="G92" s="8" t="s">
        <v>379</v>
      </c>
      <c r="H92" s="8" t="s">
        <v>378</v>
      </c>
      <c r="I92" s="7" t="s">
        <v>377</v>
      </c>
      <c r="J92" s="7" t="s">
        <v>376</v>
      </c>
      <c r="K92" s="7" t="s">
        <v>374</v>
      </c>
      <c r="L92" s="7" t="s">
        <v>375</v>
      </c>
      <c r="M92" s="7" t="s">
        <v>374</v>
      </c>
      <c r="N92" s="7" t="s">
        <v>3</v>
      </c>
      <c r="O92" s="7" t="s">
        <v>124</v>
      </c>
      <c r="P92" s="7">
        <v>1888</v>
      </c>
      <c r="Q92" s="7">
        <v>0</v>
      </c>
      <c r="R92" s="7">
        <v>2</v>
      </c>
      <c r="S92" s="4" t="s">
        <v>2</v>
      </c>
      <c r="T92" s="4" t="str">
        <f>+MID(H92,FIND("(",H92),LEN(H92)-FIND("(",H92)+1)</f>
        <v>(11)</v>
      </c>
      <c r="U92" s="4" t="s">
        <v>1</v>
      </c>
      <c r="V92" s="6">
        <f>40000*1/P92</f>
        <v>21.1864406779661</v>
      </c>
      <c r="W92" s="6">
        <f>5000/P92</f>
        <v>2.6483050847457625</v>
      </c>
    </row>
    <row r="93" spans="4:23" ht="53.4" thickBot="1" x14ac:dyDescent="0.35">
      <c r="D93" s="7">
        <v>1</v>
      </c>
      <c r="E93" s="7" t="s">
        <v>307</v>
      </c>
      <c r="F93" s="8" t="s">
        <v>373</v>
      </c>
      <c r="G93" s="8" t="s">
        <v>372</v>
      </c>
      <c r="H93" s="8" t="s">
        <v>371</v>
      </c>
      <c r="I93" s="7" t="s">
        <v>370</v>
      </c>
      <c r="J93" s="7" t="s">
        <v>369</v>
      </c>
      <c r="K93" s="7" t="s">
        <v>367</v>
      </c>
      <c r="L93" s="7" t="s">
        <v>368</v>
      </c>
      <c r="M93" s="7" t="s">
        <v>367</v>
      </c>
      <c r="N93" s="7" t="s">
        <v>3</v>
      </c>
      <c r="O93" s="7" t="s">
        <v>124</v>
      </c>
      <c r="P93" s="7">
        <v>1387</v>
      </c>
      <c r="Q93" s="7">
        <v>0</v>
      </c>
      <c r="R93" s="7">
        <v>2</v>
      </c>
      <c r="S93" s="4" t="s">
        <v>2</v>
      </c>
      <c r="T93" s="4" t="str">
        <f>+MID(H93,FIND("(",H93),LEN(H93)-FIND("(",H93)+1)</f>
        <v>(11)</v>
      </c>
      <c r="U93" s="4" t="s">
        <v>214</v>
      </c>
      <c r="V93" s="6">
        <f>40000*1/P93</f>
        <v>28.839221341023791</v>
      </c>
      <c r="W93" s="6">
        <f>5000/P93</f>
        <v>3.6049026676279738</v>
      </c>
    </row>
    <row r="94" spans="4:23" ht="40.200000000000003" thickBot="1" x14ac:dyDescent="0.35">
      <c r="D94" s="7">
        <v>1</v>
      </c>
      <c r="E94" s="7" t="s">
        <v>307</v>
      </c>
      <c r="F94" s="8" t="s">
        <v>366</v>
      </c>
      <c r="G94" s="8" t="s">
        <v>365</v>
      </c>
      <c r="H94" s="8" t="s">
        <v>364</v>
      </c>
      <c r="I94" s="7" t="s">
        <v>363</v>
      </c>
      <c r="J94" s="7" t="s">
        <v>362</v>
      </c>
      <c r="K94" s="7" t="s">
        <v>360</v>
      </c>
      <c r="L94" s="7" t="s">
        <v>361</v>
      </c>
      <c r="M94" s="7" t="s">
        <v>360</v>
      </c>
      <c r="N94" s="7" t="s">
        <v>3</v>
      </c>
      <c r="O94" s="7" t="s">
        <v>124</v>
      </c>
      <c r="P94" s="7">
        <v>1397</v>
      </c>
      <c r="Q94" s="7">
        <v>0</v>
      </c>
      <c r="R94" s="7">
        <v>2</v>
      </c>
      <c r="S94" s="4" t="s">
        <v>2</v>
      </c>
      <c r="T94" s="4" t="str">
        <f>+MID(H94,FIND("(",H94),LEN(H94)-FIND("(",H94)+1)</f>
        <v>(11)</v>
      </c>
      <c r="U94" s="4" t="s">
        <v>214</v>
      </c>
      <c r="V94" s="6">
        <f>40000*1/P94</f>
        <v>28.632784538296349</v>
      </c>
      <c r="W94" s="6">
        <f>5000/P94</f>
        <v>3.5790980672870436</v>
      </c>
    </row>
    <row r="95" spans="4:23" ht="27" thickBot="1" x14ac:dyDescent="0.35">
      <c r="D95" s="7">
        <v>1</v>
      </c>
      <c r="E95" s="7" t="s">
        <v>307</v>
      </c>
      <c r="F95" s="8" t="s">
        <v>359</v>
      </c>
      <c r="G95" s="8" t="s">
        <v>358</v>
      </c>
      <c r="H95" s="8" t="s">
        <v>357</v>
      </c>
      <c r="I95" s="7" t="s">
        <v>356</v>
      </c>
      <c r="J95" s="7" t="s">
        <v>355</v>
      </c>
      <c r="K95" s="7" t="s">
        <v>354</v>
      </c>
      <c r="L95" s="7" t="s">
        <v>353</v>
      </c>
      <c r="M95" s="7" t="s">
        <v>352</v>
      </c>
      <c r="N95" s="7" t="s">
        <v>3</v>
      </c>
      <c r="O95" s="7" t="s">
        <v>124</v>
      </c>
      <c r="P95" s="7">
        <v>604.70000000000005</v>
      </c>
      <c r="Q95" s="7">
        <v>0</v>
      </c>
      <c r="R95" s="7">
        <v>2</v>
      </c>
      <c r="S95" s="4" t="s">
        <v>2</v>
      </c>
      <c r="T95" s="4" t="str">
        <f>+MID(H95,FIND("(",H95),LEN(H95)-FIND("(",H95)+1)</f>
        <v>(11)</v>
      </c>
      <c r="U95" s="4" t="s">
        <v>214</v>
      </c>
      <c r="V95" s="6">
        <f>40000*1/P95</f>
        <v>66.14850339011079</v>
      </c>
      <c r="W95" s="6">
        <f>5000/P95</f>
        <v>8.2685629237638487</v>
      </c>
    </row>
    <row r="96" spans="4:23" ht="27" thickBot="1" x14ac:dyDescent="0.35">
      <c r="D96" s="7">
        <v>1</v>
      </c>
      <c r="E96" s="7" t="s">
        <v>307</v>
      </c>
      <c r="F96" s="8" t="s">
        <v>351</v>
      </c>
      <c r="G96" s="8" t="s">
        <v>350</v>
      </c>
      <c r="H96" s="8" t="s">
        <v>243</v>
      </c>
      <c r="I96" s="7" t="s">
        <v>349</v>
      </c>
      <c r="J96" s="7" t="s">
        <v>348</v>
      </c>
      <c r="K96" s="7" t="s">
        <v>215</v>
      </c>
      <c r="L96" s="7" t="s">
        <v>347</v>
      </c>
      <c r="M96" s="7" t="s">
        <v>215</v>
      </c>
      <c r="N96" s="7" t="s">
        <v>3</v>
      </c>
      <c r="O96" s="7" t="s">
        <v>124</v>
      </c>
      <c r="P96" s="7">
        <v>2140</v>
      </c>
      <c r="Q96" s="7">
        <v>0</v>
      </c>
      <c r="R96" s="7">
        <v>2</v>
      </c>
      <c r="S96" s="4" t="s">
        <v>2</v>
      </c>
      <c r="T96" s="4" t="str">
        <f>+MID(H96,FIND("(",H96),LEN(H96)-FIND("(",H96)+1)</f>
        <v>(11)</v>
      </c>
      <c r="U96" s="4" t="s">
        <v>214</v>
      </c>
      <c r="V96" s="6">
        <f>40000*1/P96</f>
        <v>18.691588785046729</v>
      </c>
      <c r="W96" s="6">
        <f>5000/P96</f>
        <v>2.3364485981308412</v>
      </c>
    </row>
    <row r="97" spans="4:23" ht="40.200000000000003" thickBot="1" x14ac:dyDescent="0.35">
      <c r="D97" s="7">
        <v>1</v>
      </c>
      <c r="E97" s="7" t="s">
        <v>307</v>
      </c>
      <c r="F97" s="8" t="s">
        <v>7</v>
      </c>
      <c r="G97" s="8" t="s">
        <v>346</v>
      </c>
      <c r="H97" s="8" t="s">
        <v>345</v>
      </c>
      <c r="I97" s="7" t="s">
        <v>344</v>
      </c>
      <c r="J97" s="7"/>
      <c r="K97" s="7" t="s">
        <v>343</v>
      </c>
      <c r="L97" s="7" t="s">
        <v>342</v>
      </c>
      <c r="M97" s="7"/>
      <c r="N97" s="7" t="s">
        <v>223</v>
      </c>
      <c r="O97" s="7" t="s">
        <v>223</v>
      </c>
      <c r="P97" s="7">
        <v>1444.47</v>
      </c>
      <c r="Q97" s="7">
        <v>0</v>
      </c>
      <c r="R97" s="7">
        <v>2</v>
      </c>
      <c r="S97" s="4" t="s">
        <v>2</v>
      </c>
      <c r="T97" s="4" t="str">
        <f>+MID(H97,FIND("(",H97),LEN(H97)-FIND("(",H97)+1)</f>
        <v>(11)</v>
      </c>
      <c r="U97" s="4" t="s">
        <v>1</v>
      </c>
      <c r="V97" s="6">
        <f>40000*1/P97</f>
        <v>27.69181776014732</v>
      </c>
      <c r="W97" s="6">
        <f>5000/P97</f>
        <v>3.461477220018415</v>
      </c>
    </row>
    <row r="98" spans="4:23" ht="40.200000000000003" thickBot="1" x14ac:dyDescent="0.35">
      <c r="D98" s="7">
        <v>1</v>
      </c>
      <c r="E98" s="7" t="s">
        <v>307</v>
      </c>
      <c r="F98" s="8" t="s">
        <v>341</v>
      </c>
      <c r="G98" s="8" t="s">
        <v>340</v>
      </c>
      <c r="H98" s="8" t="s">
        <v>339</v>
      </c>
      <c r="I98" s="7" t="s">
        <v>338</v>
      </c>
      <c r="J98" s="7">
        <v>3.6179999999999999</v>
      </c>
      <c r="K98" s="7" t="s">
        <v>337</v>
      </c>
      <c r="L98" s="7" t="s">
        <v>336</v>
      </c>
      <c r="M98" s="7" t="s">
        <v>335</v>
      </c>
      <c r="N98" s="7" t="s">
        <v>3</v>
      </c>
      <c r="O98" s="7" t="s">
        <v>124</v>
      </c>
      <c r="P98" s="7">
        <v>1291.1199999999999</v>
      </c>
      <c r="Q98" s="7">
        <v>0</v>
      </c>
      <c r="R98" s="7">
        <v>2</v>
      </c>
      <c r="S98" s="4" t="s">
        <v>2</v>
      </c>
      <c r="T98" s="4" t="str">
        <f>+MID(H98,FIND("(",H98),LEN(H98)-FIND("(",H98)+1)</f>
        <v>(11)</v>
      </c>
      <c r="U98" s="4" t="s">
        <v>214</v>
      </c>
      <c r="V98" s="6">
        <f>40000*1/P98</f>
        <v>30.980853832331622</v>
      </c>
      <c r="W98" s="6">
        <f>5000/P98</f>
        <v>3.8726067290414528</v>
      </c>
    </row>
    <row r="99" spans="4:23" ht="53.4" thickBot="1" x14ac:dyDescent="0.35">
      <c r="D99" s="7">
        <v>1</v>
      </c>
      <c r="E99" s="7" t="s">
        <v>307</v>
      </c>
      <c r="F99" s="8" t="s">
        <v>334</v>
      </c>
      <c r="G99" s="8" t="s">
        <v>333</v>
      </c>
      <c r="H99" s="8" t="s">
        <v>329</v>
      </c>
      <c r="I99" s="7">
        <v>88.93</v>
      </c>
      <c r="J99" s="7">
        <v>3.64</v>
      </c>
      <c r="K99" s="7">
        <v>0.25</v>
      </c>
      <c r="L99" s="7" t="s">
        <v>332</v>
      </c>
      <c r="M99" s="7">
        <v>0.25</v>
      </c>
      <c r="N99" s="7" t="s">
        <v>124</v>
      </c>
      <c r="O99" s="7" t="s">
        <v>124</v>
      </c>
      <c r="P99" s="7">
        <v>746</v>
      </c>
      <c r="Q99" s="7">
        <v>0</v>
      </c>
      <c r="R99" s="7">
        <v>2</v>
      </c>
      <c r="S99" s="4" t="s">
        <v>2</v>
      </c>
      <c r="T99" s="4" t="str">
        <f>+MID(H99,FIND("(",H99),LEN(H99)-FIND("(",H99)+1)</f>
        <v>(11)</v>
      </c>
      <c r="U99" s="4" t="s">
        <v>214</v>
      </c>
      <c r="V99" s="6">
        <f>40000*1/P99</f>
        <v>53.619302949061662</v>
      </c>
      <c r="W99" s="6">
        <f>5000/P99</f>
        <v>6.7024128686327078</v>
      </c>
    </row>
    <row r="100" spans="4:23" ht="53.4" thickBot="1" x14ac:dyDescent="0.35">
      <c r="D100" s="7">
        <v>1</v>
      </c>
      <c r="E100" s="7" t="s">
        <v>307</v>
      </c>
      <c r="F100" s="8" t="s">
        <v>331</v>
      </c>
      <c r="G100" s="8" t="s">
        <v>330</v>
      </c>
      <c r="H100" s="8" t="s">
        <v>329</v>
      </c>
      <c r="I100" s="7">
        <v>84.43</v>
      </c>
      <c r="J100" s="7">
        <v>3.45</v>
      </c>
      <c r="K100" s="7">
        <v>0.26</v>
      </c>
      <c r="L100" s="7" t="s">
        <v>328</v>
      </c>
      <c r="M100" s="7">
        <v>0.26</v>
      </c>
      <c r="N100" s="7" t="s">
        <v>124</v>
      </c>
      <c r="O100" s="7" t="s">
        <v>124</v>
      </c>
      <c r="P100" s="7">
        <v>980</v>
      </c>
      <c r="Q100" s="7">
        <v>0</v>
      </c>
      <c r="R100" s="7">
        <v>2</v>
      </c>
      <c r="S100" s="4" t="s">
        <v>2</v>
      </c>
      <c r="T100" s="4" t="str">
        <f>+MID(H100,FIND("(",H100),LEN(H100)-FIND("(",H100)+1)</f>
        <v>(11)</v>
      </c>
      <c r="U100" s="4" t="s">
        <v>214</v>
      </c>
      <c r="V100" s="6">
        <f>40000*1/P100</f>
        <v>40.816326530612244</v>
      </c>
      <c r="W100" s="6">
        <f>5000/P100</f>
        <v>5.1020408163265305</v>
      </c>
    </row>
    <row r="101" spans="4:23" ht="57.6" customHeight="1" thickBot="1" x14ac:dyDescent="0.35">
      <c r="D101" s="9">
        <v>1</v>
      </c>
      <c r="E101" s="9" t="s">
        <v>307</v>
      </c>
      <c r="F101" s="10" t="s">
        <v>7</v>
      </c>
      <c r="G101" s="10" t="s">
        <v>327</v>
      </c>
      <c r="H101" s="10" t="s">
        <v>326</v>
      </c>
      <c r="I101" s="9">
        <v>103.52</v>
      </c>
      <c r="J101" s="9">
        <v>4.29</v>
      </c>
      <c r="K101" s="9">
        <v>0.22</v>
      </c>
      <c r="L101" s="9" t="s">
        <v>325</v>
      </c>
      <c r="M101" s="9">
        <v>0.22</v>
      </c>
      <c r="N101" s="9" t="s">
        <v>124</v>
      </c>
      <c r="O101" s="9" t="s">
        <v>124</v>
      </c>
      <c r="P101" s="9">
        <v>2481</v>
      </c>
      <c r="Q101" s="9">
        <v>0</v>
      </c>
      <c r="R101" s="9">
        <v>2</v>
      </c>
      <c r="S101" s="4" t="s">
        <v>2</v>
      </c>
      <c r="T101" s="4" t="str">
        <f>+MID(H101,FIND("(",H101),LEN(H101)-FIND("(",H101)+1)</f>
        <v>(CH3)3 (11)</v>
      </c>
      <c r="U101" s="4" t="s">
        <v>1</v>
      </c>
      <c r="V101" s="6">
        <f>40000*1/P101</f>
        <v>16.122531237404271</v>
      </c>
      <c r="W101" s="6">
        <f>5000/P101</f>
        <v>2.0153164046755339</v>
      </c>
    </row>
    <row r="102" spans="4:23" ht="40.200000000000003" thickBot="1" x14ac:dyDescent="0.35">
      <c r="D102" s="9">
        <v>1</v>
      </c>
      <c r="E102" s="9" t="s">
        <v>307</v>
      </c>
      <c r="F102" s="10" t="s">
        <v>324</v>
      </c>
      <c r="G102" s="10" t="s">
        <v>323</v>
      </c>
      <c r="H102" s="10" t="s">
        <v>322</v>
      </c>
      <c r="I102" s="9">
        <v>122.1</v>
      </c>
      <c r="J102" s="9">
        <v>5.12</v>
      </c>
      <c r="K102" s="9">
        <v>0.155</v>
      </c>
      <c r="L102" s="9">
        <v>-16.899999999999999</v>
      </c>
      <c r="M102" s="9">
        <v>0.155</v>
      </c>
      <c r="N102" s="9" t="s">
        <v>124</v>
      </c>
      <c r="O102" s="9" t="s">
        <v>124</v>
      </c>
      <c r="P102" s="9">
        <v>148</v>
      </c>
      <c r="Q102" s="9">
        <v>0</v>
      </c>
      <c r="R102" s="9">
        <v>2</v>
      </c>
      <c r="S102" s="4" t="s">
        <v>2</v>
      </c>
      <c r="T102" s="4" t="str">
        <f>+MID(H102,FIND("(",H102),LEN(H102)-FIND("(",H102)+1)</f>
        <v>(11)</v>
      </c>
      <c r="U102" s="4" t="s">
        <v>214</v>
      </c>
      <c r="V102" s="6">
        <f>40000*1/P102</f>
        <v>270.27027027027026</v>
      </c>
      <c r="W102" s="6">
        <f>5000/P102</f>
        <v>33.783783783783782</v>
      </c>
    </row>
    <row r="103" spans="4:23" ht="27" thickBot="1" x14ac:dyDescent="0.35">
      <c r="D103" s="9">
        <v>1</v>
      </c>
      <c r="E103" s="9" t="s">
        <v>307</v>
      </c>
      <c r="F103" s="10" t="s">
        <v>321</v>
      </c>
      <c r="G103" s="10" t="s">
        <v>320</v>
      </c>
      <c r="H103" s="10" t="s">
        <v>319</v>
      </c>
      <c r="I103" s="9">
        <v>52.58</v>
      </c>
      <c r="J103" s="9">
        <v>2.16</v>
      </c>
      <c r="K103" s="9">
        <v>6.2E-2</v>
      </c>
      <c r="L103" s="9" t="s">
        <v>318</v>
      </c>
      <c r="M103" s="9">
        <v>7.6999999999999999E-2</v>
      </c>
      <c r="N103" s="9" t="s">
        <v>134</v>
      </c>
      <c r="O103" s="9" t="s">
        <v>3</v>
      </c>
      <c r="P103" s="9">
        <v>1830.6</v>
      </c>
      <c r="Q103" s="9">
        <v>0</v>
      </c>
      <c r="R103" s="9">
        <v>1</v>
      </c>
      <c r="S103" s="4" t="s">
        <v>2</v>
      </c>
      <c r="T103" s="4" t="str">
        <f>+MID(H103,FIND("(",H103),LEN(H103)-FIND("(",H103)+1)</f>
        <v>(11)</v>
      </c>
      <c r="U103" s="4" t="s">
        <v>214</v>
      </c>
      <c r="V103" s="6">
        <f>40000*1/P103</f>
        <v>21.850759313886158</v>
      </c>
      <c r="W103" s="6">
        <f>5000/P103</f>
        <v>2.7313449142357697</v>
      </c>
    </row>
    <row r="104" spans="4:23" ht="58.2" thickBot="1" x14ac:dyDescent="0.35">
      <c r="D104" s="9">
        <v>1</v>
      </c>
      <c r="E104" s="9" t="s">
        <v>307</v>
      </c>
      <c r="F104" t="s">
        <v>317</v>
      </c>
      <c r="G104" s="12" t="s">
        <v>316</v>
      </c>
      <c r="H104" s="10" t="s">
        <v>315</v>
      </c>
      <c r="I104" s="9">
        <v>108.62</v>
      </c>
      <c r="J104" s="9">
        <v>4.47</v>
      </c>
      <c r="K104" s="9">
        <v>0.26</v>
      </c>
      <c r="L104" s="9" t="s">
        <v>314</v>
      </c>
      <c r="M104" s="7">
        <v>0.26</v>
      </c>
      <c r="N104" s="7" t="s">
        <v>124</v>
      </c>
      <c r="O104" s="7" t="s">
        <v>124</v>
      </c>
      <c r="P104" s="7">
        <v>291</v>
      </c>
      <c r="Q104" s="7">
        <v>0</v>
      </c>
      <c r="R104" s="7">
        <v>2</v>
      </c>
      <c r="S104" s="4" t="s">
        <v>2</v>
      </c>
      <c r="T104" s="4" t="s">
        <v>313</v>
      </c>
      <c r="U104" s="4" t="s">
        <v>214</v>
      </c>
      <c r="V104" s="6">
        <f>40000*1/P104</f>
        <v>137.45704467353951</v>
      </c>
      <c r="W104" s="6">
        <f>5000/P104</f>
        <v>17.182130584192439</v>
      </c>
    </row>
    <row r="105" spans="4:23" ht="52.2" customHeight="1" thickBot="1" x14ac:dyDescent="0.35">
      <c r="D105" s="9">
        <v>1</v>
      </c>
      <c r="E105" s="9" t="s">
        <v>307</v>
      </c>
      <c r="F105" s="10" t="s">
        <v>312</v>
      </c>
      <c r="G105" s="11" t="s">
        <v>311</v>
      </c>
      <c r="H105" s="11" t="s">
        <v>310</v>
      </c>
      <c r="I105" s="9" t="s">
        <v>309</v>
      </c>
      <c r="J105" s="9">
        <v>3.64</v>
      </c>
      <c r="K105" s="9">
        <v>0.16</v>
      </c>
      <c r="L105" s="9" t="s">
        <v>308</v>
      </c>
      <c r="M105" s="9">
        <v>0.16</v>
      </c>
      <c r="N105" s="9" t="s">
        <v>124</v>
      </c>
      <c r="O105" s="9" t="s">
        <v>124</v>
      </c>
      <c r="P105" s="9">
        <v>1399</v>
      </c>
      <c r="Q105" s="9">
        <v>0</v>
      </c>
      <c r="R105" s="9">
        <v>2</v>
      </c>
      <c r="S105" s="4" t="s">
        <v>2</v>
      </c>
      <c r="T105" s="4" t="str">
        <f>+MID(H105,FIND("(",H105),LEN(H105)-FIND("(",H105)+1)</f>
        <v>(11)</v>
      </c>
      <c r="U105" s="4" t="s">
        <v>214</v>
      </c>
      <c r="V105" s="6">
        <f>40000*1/P105</f>
        <v>28.591851322373124</v>
      </c>
      <c r="W105" s="6">
        <f>5000/P105</f>
        <v>3.5739814152966405</v>
      </c>
    </row>
    <row r="106" spans="4:23" ht="27" thickBot="1" x14ac:dyDescent="0.35">
      <c r="D106" s="9">
        <v>1</v>
      </c>
      <c r="E106" s="9" t="s">
        <v>307</v>
      </c>
      <c r="F106" s="10" t="s">
        <v>306</v>
      </c>
      <c r="G106" s="10" t="s">
        <v>305</v>
      </c>
      <c r="H106" s="10" t="s">
        <v>304</v>
      </c>
      <c r="I106" s="9">
        <v>117.48</v>
      </c>
      <c r="J106" s="9">
        <v>4.9180000000000001</v>
      </c>
      <c r="K106" s="9">
        <v>0.28999999999999998</v>
      </c>
      <c r="L106" s="9" t="s">
        <v>303</v>
      </c>
      <c r="M106" s="9">
        <v>0.28999999999999998</v>
      </c>
      <c r="N106" s="9" t="s">
        <v>124</v>
      </c>
      <c r="O106" s="9" t="s">
        <v>124</v>
      </c>
      <c r="P106" s="9">
        <v>293</v>
      </c>
      <c r="Q106" s="9">
        <v>0</v>
      </c>
      <c r="R106" s="9">
        <v>2</v>
      </c>
      <c r="S106" s="4" t="s">
        <v>2</v>
      </c>
      <c r="T106" s="4" t="str">
        <f>+MID(H106,FIND("(",H106),LEN(H106)-FIND("(",H106)+1)</f>
        <v>(11)</v>
      </c>
      <c r="U106" s="4" t="s">
        <v>214</v>
      </c>
      <c r="V106" s="6">
        <f>40000*1/P106</f>
        <v>136.51877133105802</v>
      </c>
      <c r="W106" s="6">
        <f>5000/P106</f>
        <v>17.064846416382252</v>
      </c>
    </row>
    <row r="107" spans="4:23" ht="15" thickBot="1" x14ac:dyDescent="0.35">
      <c r="D107" s="7">
        <v>2</v>
      </c>
      <c r="E107" s="7" t="s">
        <v>222</v>
      </c>
      <c r="F107" s="8" t="s">
        <v>302</v>
      </c>
      <c r="G107" s="8" t="s">
        <v>301</v>
      </c>
      <c r="H107" s="8" t="s">
        <v>300</v>
      </c>
      <c r="I107" s="7">
        <v>52</v>
      </c>
      <c r="J107" s="7">
        <v>2.13</v>
      </c>
      <c r="K107" s="7">
        <v>6.0999999999999999E-2</v>
      </c>
      <c r="L107" s="7" t="s">
        <v>299</v>
      </c>
      <c r="M107" s="7" t="s">
        <v>298</v>
      </c>
      <c r="N107" s="7">
        <v>648</v>
      </c>
      <c r="O107" s="7">
        <v>0.307</v>
      </c>
      <c r="P107" s="7">
        <v>675</v>
      </c>
      <c r="Q107" s="7">
        <v>0</v>
      </c>
      <c r="R107" s="7">
        <v>1</v>
      </c>
      <c r="S107" s="4" t="s">
        <v>2</v>
      </c>
      <c r="T107" s="4" t="str">
        <f>+MID(H107,FIND("(",H107),LEN(H107)-FIND("(",H107)+1)</f>
        <v>(11)</v>
      </c>
      <c r="U107" s="4" t="s">
        <v>1</v>
      </c>
      <c r="V107" s="6">
        <f>40000*1/P107</f>
        <v>59.25925925925926</v>
      </c>
      <c r="W107" s="6">
        <f>5000/P107</f>
        <v>7.4074074074074074</v>
      </c>
    </row>
    <row r="108" spans="4:23" ht="15" thickBot="1" x14ac:dyDescent="0.35">
      <c r="D108" s="7">
        <v>2</v>
      </c>
      <c r="E108" s="7" t="s">
        <v>222</v>
      </c>
      <c r="F108" s="8" t="s">
        <v>297</v>
      </c>
      <c r="G108" s="8" t="s">
        <v>296</v>
      </c>
      <c r="H108" s="8" t="s">
        <v>295</v>
      </c>
      <c r="I108" s="7">
        <v>84</v>
      </c>
      <c r="J108" s="7">
        <v>3.44</v>
      </c>
      <c r="K108" s="7">
        <v>4.8000000000000001E-2</v>
      </c>
      <c r="L108" s="7" t="s">
        <v>294</v>
      </c>
      <c r="M108" s="7">
        <v>0.48</v>
      </c>
      <c r="N108" s="7">
        <v>750</v>
      </c>
      <c r="O108" s="7">
        <v>0.28199999999999997</v>
      </c>
      <c r="P108" s="7">
        <v>4470</v>
      </c>
      <c r="Q108" s="7">
        <v>0</v>
      </c>
      <c r="R108" s="7">
        <v>1</v>
      </c>
      <c r="S108" s="4" t="s">
        <v>2</v>
      </c>
      <c r="T108" s="4" t="str">
        <f>+MID(H108,FIND("(",H108),LEN(H108)-FIND("(",H108)+1)</f>
        <v>(11)</v>
      </c>
      <c r="U108" s="4" t="s">
        <v>1</v>
      </c>
      <c r="V108" s="6">
        <f>40000*1/P108</f>
        <v>8.9485458612975393</v>
      </c>
      <c r="W108" s="6">
        <f>5000/P108</f>
        <v>1.1185682326621924</v>
      </c>
    </row>
    <row r="109" spans="4:23" ht="15" thickBot="1" x14ac:dyDescent="0.35">
      <c r="D109" s="7">
        <v>2</v>
      </c>
      <c r="E109" s="7" t="s">
        <v>222</v>
      </c>
      <c r="F109" s="8" t="s">
        <v>293</v>
      </c>
      <c r="G109" s="8" t="s">
        <v>292</v>
      </c>
      <c r="H109" s="8" t="s">
        <v>291</v>
      </c>
      <c r="I109" s="7" t="s">
        <v>284</v>
      </c>
      <c r="J109" s="7" t="s">
        <v>283</v>
      </c>
      <c r="K109" s="7" t="s">
        <v>290</v>
      </c>
      <c r="L109" s="7" t="s">
        <v>289</v>
      </c>
      <c r="M109" s="7" t="s">
        <v>288</v>
      </c>
      <c r="N109" s="7">
        <v>405</v>
      </c>
      <c r="O109" s="7" t="s">
        <v>270</v>
      </c>
      <c r="P109" s="7">
        <v>4</v>
      </c>
      <c r="Q109" s="7">
        <v>0</v>
      </c>
      <c r="R109" s="7">
        <v>1</v>
      </c>
      <c r="S109" s="4" t="s">
        <v>2</v>
      </c>
      <c r="T109" s="4" t="str">
        <f>+MID(H109,FIND("(",H109),LEN(H109)-FIND("(",H109)+1)</f>
        <v>(11)</v>
      </c>
      <c r="U109" s="4" t="s">
        <v>278</v>
      </c>
      <c r="V109" s="6">
        <f>40000*1/P109</f>
        <v>10000</v>
      </c>
      <c r="W109" s="6">
        <f>5000/P109</f>
        <v>1250</v>
      </c>
    </row>
    <row r="110" spans="4:23" ht="27" thickBot="1" x14ac:dyDescent="0.35">
      <c r="D110" s="7">
        <v>2</v>
      </c>
      <c r="E110" s="7" t="s">
        <v>222</v>
      </c>
      <c r="F110" s="8" t="s">
        <v>287</v>
      </c>
      <c r="G110" s="8" t="s">
        <v>286</v>
      </c>
      <c r="H110" s="8" t="s">
        <v>285</v>
      </c>
      <c r="I110" s="7" t="s">
        <v>284</v>
      </c>
      <c r="J110" s="7" t="s">
        <v>283</v>
      </c>
      <c r="K110" s="7" t="s">
        <v>282</v>
      </c>
      <c r="L110" s="7" t="s">
        <v>281</v>
      </c>
      <c r="M110" s="7" t="s">
        <v>280</v>
      </c>
      <c r="N110" s="7">
        <v>368</v>
      </c>
      <c r="O110" s="7" t="s">
        <v>279</v>
      </c>
      <c r="P110" s="7">
        <v>7</v>
      </c>
      <c r="Q110" s="7">
        <v>0</v>
      </c>
      <c r="R110" s="7">
        <v>2</v>
      </c>
      <c r="S110" s="4" t="s">
        <v>2</v>
      </c>
      <c r="T110" s="4" t="str">
        <f>+MID(H110,FIND("(",H110),LEN(H110)-FIND("(",H110)+1)</f>
        <v>(11)</v>
      </c>
      <c r="U110" s="4" t="s">
        <v>278</v>
      </c>
      <c r="V110" s="6">
        <f>40000*1/P110</f>
        <v>5714.2857142857147</v>
      </c>
      <c r="W110" s="6">
        <f>5000/P110</f>
        <v>714.28571428571433</v>
      </c>
    </row>
    <row r="111" spans="4:23" ht="27" thickBot="1" x14ac:dyDescent="0.35">
      <c r="D111" s="7">
        <v>2</v>
      </c>
      <c r="E111" s="7" t="s">
        <v>222</v>
      </c>
      <c r="F111" s="8" t="s">
        <v>277</v>
      </c>
      <c r="G111" s="8" t="s">
        <v>276</v>
      </c>
      <c r="H111" s="8" t="s">
        <v>275</v>
      </c>
      <c r="I111" s="7" t="s">
        <v>274</v>
      </c>
      <c r="J111" s="7" t="s">
        <v>273</v>
      </c>
      <c r="K111" s="7" t="s">
        <v>272</v>
      </c>
      <c r="L111" s="7" t="s">
        <v>271</v>
      </c>
      <c r="M111" s="7" t="s">
        <v>270</v>
      </c>
      <c r="N111" s="7" t="s">
        <v>3</v>
      </c>
      <c r="O111" s="7" t="s">
        <v>269</v>
      </c>
      <c r="P111" s="7">
        <v>93</v>
      </c>
      <c r="Q111" s="7">
        <v>0</v>
      </c>
      <c r="R111" s="7">
        <v>1</v>
      </c>
      <c r="S111" s="4" t="s">
        <v>2</v>
      </c>
      <c r="T111" s="4" t="str">
        <f>+MID(H111,FIND("(",H111),LEN(H111)-FIND("(",H111)+1)</f>
        <v>(11)</v>
      </c>
      <c r="U111" s="4" t="s">
        <v>214</v>
      </c>
      <c r="V111" s="6">
        <f>40000*1/P111</f>
        <v>430.10752688172045</v>
      </c>
      <c r="W111" s="6">
        <f>5000/P111</f>
        <v>53.763440860215056</v>
      </c>
    </row>
    <row r="112" spans="4:23" ht="27" thickBot="1" x14ac:dyDescent="0.35">
      <c r="D112" s="7">
        <v>2</v>
      </c>
      <c r="E112" s="7" t="s">
        <v>222</v>
      </c>
      <c r="F112" s="8" t="s">
        <v>268</v>
      </c>
      <c r="G112" s="8" t="s">
        <v>267</v>
      </c>
      <c r="H112" s="8" t="s">
        <v>266</v>
      </c>
      <c r="I112" s="7">
        <v>72.8</v>
      </c>
      <c r="J112" s="7">
        <v>3.02</v>
      </c>
      <c r="K112" s="7">
        <v>5.5E-2</v>
      </c>
      <c r="L112" s="7" t="s">
        <v>265</v>
      </c>
      <c r="M112" s="7">
        <v>0.33</v>
      </c>
      <c r="N112" s="7" t="s">
        <v>3</v>
      </c>
      <c r="O112" s="7">
        <v>0.27600000000000002</v>
      </c>
      <c r="P112" s="7">
        <v>295.89999999999998</v>
      </c>
      <c r="Q112" s="7">
        <v>0</v>
      </c>
      <c r="R112" s="7">
        <v>1</v>
      </c>
      <c r="S112" s="4" t="s">
        <v>2</v>
      </c>
      <c r="T112" s="4" t="str">
        <f>+MID(H112,FIND("(",H112),LEN(H112)-FIND("(",H112)+1)</f>
        <v>(11)</v>
      </c>
      <c r="U112" s="4" t="s">
        <v>214</v>
      </c>
      <c r="V112" s="6">
        <f>40000*1/P112</f>
        <v>135.18080432578574</v>
      </c>
      <c r="W112" s="6">
        <f>5000/P112</f>
        <v>16.897600540723218</v>
      </c>
    </row>
    <row r="113" spans="4:40" ht="27" thickBot="1" x14ac:dyDescent="0.35">
      <c r="D113" s="7">
        <v>2</v>
      </c>
      <c r="E113" s="7" t="s">
        <v>222</v>
      </c>
      <c r="F113" s="8" t="s">
        <v>264</v>
      </c>
      <c r="G113" s="8" t="s">
        <v>263</v>
      </c>
      <c r="H113" s="8" t="s">
        <v>262</v>
      </c>
      <c r="I113" s="7">
        <v>103.1</v>
      </c>
      <c r="J113" s="7">
        <v>4.29</v>
      </c>
      <c r="K113" s="7">
        <v>5.2999999999999999E-2</v>
      </c>
      <c r="L113" s="7" t="s">
        <v>261</v>
      </c>
      <c r="M113" s="7">
        <v>0.22800000000000001</v>
      </c>
      <c r="N113" s="7" t="s">
        <v>3</v>
      </c>
      <c r="O113" s="7">
        <v>0.26600000000000001</v>
      </c>
      <c r="P113" s="7">
        <v>134.69999999999999</v>
      </c>
      <c r="Q113" s="7">
        <v>0</v>
      </c>
      <c r="R113" s="7">
        <v>1</v>
      </c>
      <c r="S113" s="4" t="s">
        <v>2</v>
      </c>
      <c r="T113" s="4" t="str">
        <f>+MID(H113,FIND("(",H113),LEN(H113)-FIND("(",H113)+1)</f>
        <v>(11)</v>
      </c>
      <c r="U113" s="4" t="s">
        <v>214</v>
      </c>
      <c r="V113" s="6">
        <f>40000*1/P113</f>
        <v>296.95619896065335</v>
      </c>
      <c r="W113" s="6">
        <f>5000/P113</f>
        <v>37.119524870081669</v>
      </c>
    </row>
    <row r="114" spans="4:40" ht="27" thickBot="1" x14ac:dyDescent="0.35">
      <c r="D114" s="7">
        <v>2</v>
      </c>
      <c r="E114" s="7" t="s">
        <v>222</v>
      </c>
      <c r="F114" s="8" t="s">
        <v>260</v>
      </c>
      <c r="G114" s="8" t="s">
        <v>259</v>
      </c>
      <c r="H114" s="8" t="s">
        <v>258</v>
      </c>
      <c r="I114" s="7">
        <v>62</v>
      </c>
      <c r="J114" s="7">
        <v>2.6</v>
      </c>
      <c r="K114" s="7">
        <v>3.1E-2</v>
      </c>
      <c r="L114" s="7" t="s">
        <v>257</v>
      </c>
      <c r="M114" s="7">
        <v>6.8000000000000005E-2</v>
      </c>
      <c r="N114" s="7" t="s">
        <v>3</v>
      </c>
      <c r="O114" s="7">
        <v>0.157</v>
      </c>
      <c r="P114" s="7">
        <v>461.2</v>
      </c>
      <c r="Q114" s="7">
        <v>0</v>
      </c>
      <c r="R114" s="7">
        <v>1</v>
      </c>
      <c r="S114" s="4" t="s">
        <v>2</v>
      </c>
      <c r="T114" s="4" t="str">
        <f>+MID(H114,FIND("(",H114),LEN(H114)-FIND("(",H114)+1)</f>
        <v>(11)</v>
      </c>
      <c r="U114" s="4" t="s">
        <v>214</v>
      </c>
      <c r="V114" s="6">
        <f>40000*1/P114</f>
        <v>86.730268863833487</v>
      </c>
      <c r="W114" s="6">
        <f>5000/P114</f>
        <v>10.841283607979186</v>
      </c>
    </row>
    <row r="115" spans="4:40" ht="27" thickBot="1" x14ac:dyDescent="0.35">
      <c r="D115" s="7">
        <v>2</v>
      </c>
      <c r="E115" s="7" t="s">
        <v>222</v>
      </c>
      <c r="F115" s="8" t="s">
        <v>256</v>
      </c>
      <c r="G115" s="8" t="s">
        <v>255</v>
      </c>
      <c r="H115" s="8" t="s">
        <v>254</v>
      </c>
      <c r="I115" s="7">
        <v>63.04</v>
      </c>
      <c r="J115" s="7">
        <v>2.61</v>
      </c>
      <c r="K115" s="7">
        <v>3.4000000000000002E-2</v>
      </c>
      <c r="L115" s="7" t="s">
        <v>253</v>
      </c>
      <c r="M115" s="7">
        <v>0.36</v>
      </c>
      <c r="N115" s="7" t="s">
        <v>3</v>
      </c>
      <c r="O115" s="7">
        <v>0.16800000000000001</v>
      </c>
      <c r="P115" s="7">
        <v>583.5</v>
      </c>
      <c r="Q115" s="7">
        <v>0</v>
      </c>
      <c r="R115" s="7">
        <v>1</v>
      </c>
      <c r="S115" s="4" t="s">
        <v>2</v>
      </c>
      <c r="T115" s="4" t="str">
        <f>+MID(H115,FIND("(",H115),LEN(H115)-FIND("(",H115)+1)</f>
        <v>(11)</v>
      </c>
      <c r="U115" s="4" t="s">
        <v>214</v>
      </c>
      <c r="V115" s="6">
        <f>40000*1/P115</f>
        <v>68.551842330762639</v>
      </c>
      <c r="W115" s="6">
        <f>5000/P115</f>
        <v>8.5689802913453299</v>
      </c>
    </row>
    <row r="116" spans="4:40" ht="27" thickBot="1" x14ac:dyDescent="0.35">
      <c r="D116" s="7">
        <v>2</v>
      </c>
      <c r="E116" s="7" t="s">
        <v>222</v>
      </c>
      <c r="F116" s="8" t="s">
        <v>252</v>
      </c>
      <c r="G116" s="8" t="s">
        <v>251</v>
      </c>
      <c r="H116" s="8" t="s">
        <v>247</v>
      </c>
      <c r="I116" s="7">
        <v>112.69</v>
      </c>
      <c r="J116" s="7">
        <v>4.3029999999999999</v>
      </c>
      <c r="K116" s="7">
        <v>6.5000000000000002E-2</v>
      </c>
      <c r="L116" s="7" t="s">
        <v>250</v>
      </c>
      <c r="M116" s="7">
        <v>0.46200000000000002</v>
      </c>
      <c r="N116" s="7" t="s">
        <v>3</v>
      </c>
      <c r="O116" s="7">
        <v>0.32300000000000001</v>
      </c>
      <c r="P116" s="7">
        <v>149.5</v>
      </c>
      <c r="Q116" s="7">
        <v>0</v>
      </c>
      <c r="R116" s="7">
        <v>1</v>
      </c>
      <c r="S116" s="4" t="s">
        <v>2</v>
      </c>
      <c r="T116" s="4" t="str">
        <f>+MID(H116,FIND("(",H116),LEN(H116)-FIND("(",H116)+1)</f>
        <v>(11)</v>
      </c>
      <c r="U116" s="4" t="s">
        <v>214</v>
      </c>
      <c r="V116" s="6">
        <f>40000*1/P116</f>
        <v>267.55852842809367</v>
      </c>
      <c r="W116" s="6">
        <f>5000/P116</f>
        <v>33.444816053511708</v>
      </c>
    </row>
    <row r="117" spans="4:40" ht="27" thickBot="1" x14ac:dyDescent="0.35">
      <c r="D117" s="7">
        <v>2</v>
      </c>
      <c r="E117" s="7" t="s">
        <v>222</v>
      </c>
      <c r="F117" s="8" t="s">
        <v>249</v>
      </c>
      <c r="G117" s="8" t="s">
        <v>248</v>
      </c>
      <c r="H117" s="8" t="s">
        <v>247</v>
      </c>
      <c r="I117" s="7">
        <v>112.56</v>
      </c>
      <c r="J117" s="7">
        <v>4.7</v>
      </c>
      <c r="K117" s="7">
        <v>6.5000000000000002E-2</v>
      </c>
      <c r="L117" s="7" t="s">
        <v>246</v>
      </c>
      <c r="M117" s="7">
        <v>0.46100000000000002</v>
      </c>
      <c r="N117" s="7" t="s">
        <v>3</v>
      </c>
      <c r="O117" s="7">
        <v>0.32300000000000001</v>
      </c>
      <c r="P117" s="7">
        <v>163.69999999999999</v>
      </c>
      <c r="Q117" s="7">
        <v>0</v>
      </c>
      <c r="R117" s="7">
        <v>1</v>
      </c>
      <c r="S117" s="4" t="s">
        <v>2</v>
      </c>
      <c r="T117" s="4" t="str">
        <f>+MID(H117,FIND("(",H117),LEN(H117)-FIND("(",H117)+1)</f>
        <v>(11)</v>
      </c>
      <c r="U117" s="4" t="s">
        <v>214</v>
      </c>
      <c r="V117" s="6">
        <f>40000*1/P117</f>
        <v>244.3494196701283</v>
      </c>
      <c r="W117" s="6">
        <f>5000/P117</f>
        <v>30.543677458766037</v>
      </c>
    </row>
    <row r="118" spans="4:40" ht="27" thickBot="1" x14ac:dyDescent="0.35">
      <c r="D118" s="7">
        <v>2</v>
      </c>
      <c r="E118" s="7" t="s">
        <v>222</v>
      </c>
      <c r="F118" s="8" t="s">
        <v>245</v>
      </c>
      <c r="G118" s="8" t="s">
        <v>244</v>
      </c>
      <c r="H118" s="8" t="s">
        <v>243</v>
      </c>
      <c r="I118" s="7" t="s">
        <v>242</v>
      </c>
      <c r="J118" s="7">
        <v>2.63</v>
      </c>
      <c r="K118" s="7" t="s">
        <v>241</v>
      </c>
      <c r="L118" s="7" t="s">
        <v>240</v>
      </c>
      <c r="M118" s="7">
        <v>0.46700000000000003</v>
      </c>
      <c r="N118" s="7" t="s">
        <v>223</v>
      </c>
      <c r="O118" s="7" t="s">
        <v>239</v>
      </c>
      <c r="P118" s="7">
        <v>698.25</v>
      </c>
      <c r="Q118" s="7">
        <v>0</v>
      </c>
      <c r="R118" s="7">
        <v>1</v>
      </c>
      <c r="S118" s="4" t="s">
        <v>2</v>
      </c>
      <c r="T118" s="4" t="str">
        <f>+MID(H118,FIND("(",H118),LEN(H118)-FIND("(",H118)+1)</f>
        <v>(11)</v>
      </c>
      <c r="U118" s="4" t="s">
        <v>214</v>
      </c>
      <c r="V118" s="6">
        <f>40000*1/P118</f>
        <v>57.286072323666311</v>
      </c>
      <c r="W118" s="6">
        <f>5000/P118</f>
        <v>7.1607590404582888</v>
      </c>
    </row>
    <row r="119" spans="4:40" ht="27" thickBot="1" x14ac:dyDescent="0.35">
      <c r="D119" s="7">
        <v>2</v>
      </c>
      <c r="E119" s="7" t="s">
        <v>222</v>
      </c>
      <c r="F119" s="8" t="s">
        <v>238</v>
      </c>
      <c r="G119" s="8" t="s">
        <v>237</v>
      </c>
      <c r="H119" s="8" t="s">
        <v>226</v>
      </c>
      <c r="I119" s="7" t="s">
        <v>236</v>
      </c>
      <c r="J119" s="7">
        <v>2.8</v>
      </c>
      <c r="K119" s="7" t="s">
        <v>235</v>
      </c>
      <c r="L119" s="7" t="s">
        <v>234</v>
      </c>
      <c r="M119" s="7">
        <v>0.46</v>
      </c>
      <c r="N119" s="7" t="s">
        <v>223</v>
      </c>
      <c r="O119" s="7" t="s">
        <v>233</v>
      </c>
      <c r="P119" s="7">
        <v>238.89</v>
      </c>
      <c r="Q119" s="7">
        <v>0</v>
      </c>
      <c r="R119" s="7">
        <v>1</v>
      </c>
      <c r="S119" s="4" t="s">
        <v>2</v>
      </c>
      <c r="T119" s="4" t="str">
        <f>+MID(H119,FIND("(",H119),LEN(H119)-FIND("(",H119)+1)</f>
        <v>(11)</v>
      </c>
      <c r="U119" s="4" t="s">
        <v>214</v>
      </c>
      <c r="V119" s="6">
        <f>40000*1/P119</f>
        <v>167.44108166938759</v>
      </c>
      <c r="W119" s="6">
        <f>5000/P119</f>
        <v>20.930135208673448</v>
      </c>
    </row>
    <row r="120" spans="4:40" ht="27" thickBot="1" x14ac:dyDescent="0.35">
      <c r="D120" s="7">
        <v>2</v>
      </c>
      <c r="E120" s="7" t="s">
        <v>222</v>
      </c>
      <c r="F120" s="8" t="s">
        <v>232</v>
      </c>
      <c r="G120" s="8" t="s">
        <v>231</v>
      </c>
      <c r="H120" s="8" t="s">
        <v>226</v>
      </c>
      <c r="I120" s="7" t="s">
        <v>230</v>
      </c>
      <c r="J120" s="7">
        <v>2.2000000000000002</v>
      </c>
      <c r="K120" s="7">
        <v>6.0999999999999999E-2</v>
      </c>
      <c r="L120" s="7" t="s">
        <v>229</v>
      </c>
      <c r="M120" s="7">
        <v>0.35</v>
      </c>
      <c r="N120" s="7" t="s">
        <v>223</v>
      </c>
      <c r="O120" s="7">
        <v>0.30099999999999999</v>
      </c>
      <c r="P120" s="7">
        <v>466.32</v>
      </c>
      <c r="Q120" s="7">
        <v>0</v>
      </c>
      <c r="R120" s="7">
        <v>1</v>
      </c>
      <c r="S120" s="4" t="s">
        <v>2</v>
      </c>
      <c r="T120" s="4" t="str">
        <f>+MID(H120,FIND("(",H120),LEN(H120)-FIND("(",H120)+1)</f>
        <v>(11)</v>
      </c>
      <c r="U120" s="4" t="s">
        <v>214</v>
      </c>
      <c r="V120" s="6">
        <f>40000*1/P120</f>
        <v>85.778006519128496</v>
      </c>
      <c r="W120" s="6">
        <f>5000/P120</f>
        <v>10.722250814891062</v>
      </c>
    </row>
    <row r="121" spans="4:40" ht="27" thickBot="1" x14ac:dyDescent="0.35">
      <c r="D121" s="7">
        <v>2</v>
      </c>
      <c r="E121" s="7" t="s">
        <v>222</v>
      </c>
      <c r="F121" s="8" t="s">
        <v>228</v>
      </c>
      <c r="G121" s="8" t="s">
        <v>227</v>
      </c>
      <c r="H121" s="8" t="s">
        <v>226</v>
      </c>
      <c r="I121" s="7">
        <v>90.8</v>
      </c>
      <c r="J121" s="7">
        <v>3.2</v>
      </c>
      <c r="K121" s="7" t="s">
        <v>225</v>
      </c>
      <c r="L121" s="7" t="s">
        <v>224</v>
      </c>
      <c r="M121" s="7">
        <v>0.44</v>
      </c>
      <c r="N121" s="7" t="s">
        <v>223</v>
      </c>
      <c r="O121" s="7">
        <v>0.29099999999999998</v>
      </c>
      <c r="P121" s="7">
        <v>148.27000000000001</v>
      </c>
      <c r="Q121" s="7">
        <v>0</v>
      </c>
      <c r="R121" s="7">
        <v>1</v>
      </c>
      <c r="S121" s="4" t="s">
        <v>2</v>
      </c>
      <c r="T121" s="4" t="str">
        <f>+MID(H121,FIND("(",H121),LEN(H121)-FIND("(",H121)+1)</f>
        <v>(11)</v>
      </c>
      <c r="U121" s="4" t="s">
        <v>214</v>
      </c>
      <c r="V121" s="6">
        <f>40000*1/P121</f>
        <v>269.77810750657585</v>
      </c>
      <c r="W121" s="6">
        <f>5000/P121</f>
        <v>33.722263438321981</v>
      </c>
    </row>
    <row r="122" spans="4:40" ht="27" thickBot="1" x14ac:dyDescent="0.35">
      <c r="D122" s="7">
        <v>2</v>
      </c>
      <c r="E122" s="7" t="s">
        <v>222</v>
      </c>
      <c r="F122" s="8" t="s">
        <v>221</v>
      </c>
      <c r="G122" s="8" t="s">
        <v>220</v>
      </c>
      <c r="H122" s="8" t="s">
        <v>219</v>
      </c>
      <c r="I122" s="7" t="s">
        <v>218</v>
      </c>
      <c r="J122" s="7">
        <v>3.63</v>
      </c>
      <c r="K122" s="7" t="s">
        <v>217</v>
      </c>
      <c r="L122" s="7" t="s">
        <v>216</v>
      </c>
      <c r="M122" s="7">
        <v>0.41399999999999998</v>
      </c>
      <c r="N122" s="7" t="s">
        <v>3</v>
      </c>
      <c r="O122" s="7" t="s">
        <v>215</v>
      </c>
      <c r="P122" s="7">
        <v>148.18</v>
      </c>
      <c r="Q122" s="7">
        <v>0</v>
      </c>
      <c r="R122" s="7">
        <v>1</v>
      </c>
      <c r="S122" s="4" t="s">
        <v>2</v>
      </c>
      <c r="T122" s="4" t="str">
        <f>+MID(H122,FIND("(",H122),LEN(H122)-FIND("(",H122)+1)</f>
        <v>(11)</v>
      </c>
      <c r="U122" s="4" t="s">
        <v>214</v>
      </c>
      <c r="V122" s="6">
        <f>40000*1/P122</f>
        <v>269.94196247806718</v>
      </c>
      <c r="W122" s="6">
        <f>5000/P122</f>
        <v>33.742745309758398</v>
      </c>
    </row>
    <row r="123" spans="4:40" ht="66.599999999999994" thickBot="1" x14ac:dyDescent="0.35">
      <c r="D123" s="7">
        <v>2</v>
      </c>
      <c r="E123" s="7" t="s">
        <v>198</v>
      </c>
      <c r="F123" s="8" t="s">
        <v>213</v>
      </c>
      <c r="G123" s="8" t="s">
        <v>212</v>
      </c>
      <c r="H123" s="8" t="s">
        <v>211</v>
      </c>
      <c r="I123" s="7">
        <v>117</v>
      </c>
      <c r="J123" s="7">
        <v>4.78</v>
      </c>
      <c r="K123" s="7" t="s">
        <v>210</v>
      </c>
      <c r="L123" s="7">
        <v>32</v>
      </c>
      <c r="M123" s="7">
        <v>1.2E-2</v>
      </c>
      <c r="N123" s="7">
        <v>532</v>
      </c>
      <c r="O123" s="7" t="s">
        <v>134</v>
      </c>
      <c r="P123" s="7">
        <v>725</v>
      </c>
      <c r="Q123" s="7">
        <v>0.11</v>
      </c>
      <c r="R123" s="7">
        <v>2</v>
      </c>
      <c r="S123" s="4" t="s">
        <v>161</v>
      </c>
      <c r="T123" s="4" t="str">
        <f>+MID(H123,FIND("(",H123),LEN(H123)-FIND("(",H123)+1)</f>
        <v>(10;11)</v>
      </c>
      <c r="U123" s="4" t="s">
        <v>109</v>
      </c>
      <c r="V123" s="6">
        <f>40000*1/P123</f>
        <v>55.172413793103445</v>
      </c>
      <c r="W123" s="6">
        <f>5000/P123</f>
        <v>6.8965517241379306</v>
      </c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4:40" ht="66.599999999999994" thickBot="1" x14ac:dyDescent="0.35">
      <c r="D124" s="7">
        <v>2</v>
      </c>
      <c r="E124" s="7" t="s">
        <v>198</v>
      </c>
      <c r="F124" s="8" t="s">
        <v>209</v>
      </c>
      <c r="G124" s="8" t="s">
        <v>208</v>
      </c>
      <c r="H124" s="8" t="s">
        <v>207</v>
      </c>
      <c r="I124" s="7">
        <v>100.5</v>
      </c>
      <c r="J124" s="7">
        <v>4.1100000000000003</v>
      </c>
      <c r="K124" s="7">
        <v>4.9000000000000002E-2</v>
      </c>
      <c r="L124" s="7" t="s">
        <v>125</v>
      </c>
      <c r="M124" s="7">
        <v>0.1</v>
      </c>
      <c r="N124" s="7">
        <v>750</v>
      </c>
      <c r="O124" s="7">
        <v>0.32900000000000001</v>
      </c>
      <c r="P124" s="7">
        <v>2310</v>
      </c>
      <c r="Q124" s="7">
        <v>6.5000000000000002E-2</v>
      </c>
      <c r="R124" s="7">
        <v>1</v>
      </c>
      <c r="S124" s="4" t="s">
        <v>161</v>
      </c>
      <c r="T124" s="4" t="str">
        <f>+MID(H124,FIND("(",H124),LEN(H124)-FIND("(",H124)+1)</f>
        <v>(10;11)</v>
      </c>
      <c r="U124" s="4" t="s">
        <v>109</v>
      </c>
      <c r="V124" s="6">
        <f>40000*1/P124</f>
        <v>17.316017316017316</v>
      </c>
      <c r="W124" s="6">
        <f>5000/P124</f>
        <v>2.1645021645021645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4:40" ht="15" thickBot="1" x14ac:dyDescent="0.35">
      <c r="D125" s="7">
        <v>2</v>
      </c>
      <c r="E125" s="7" t="s">
        <v>198</v>
      </c>
      <c r="F125" s="8" t="s">
        <v>206</v>
      </c>
      <c r="G125" s="8" t="s">
        <v>205</v>
      </c>
      <c r="H125" s="8" t="s">
        <v>204</v>
      </c>
      <c r="I125" s="7">
        <v>66</v>
      </c>
      <c r="J125" s="7">
        <v>2.7</v>
      </c>
      <c r="K125" s="7" t="s">
        <v>203</v>
      </c>
      <c r="L125" s="7" t="s">
        <v>62</v>
      </c>
      <c r="M125" s="7">
        <v>0.14000000000000001</v>
      </c>
      <c r="N125" s="7">
        <v>455</v>
      </c>
      <c r="O125" s="7">
        <v>0.13</v>
      </c>
      <c r="P125" s="7">
        <v>124</v>
      </c>
      <c r="Q125" s="7">
        <v>0</v>
      </c>
      <c r="R125" s="7">
        <v>1</v>
      </c>
      <c r="S125" s="4" t="s">
        <v>2</v>
      </c>
      <c r="T125" s="4" t="str">
        <f>+MID(H125,FIND("(",H125),LEN(H125)-FIND("(",H125)+1)</f>
        <v>(11)</v>
      </c>
      <c r="U125" s="4" t="s">
        <v>1</v>
      </c>
      <c r="V125" s="6">
        <f>40000*1/P125</f>
        <v>322.58064516129031</v>
      </c>
      <c r="W125" s="6">
        <f>5000/P125</f>
        <v>40.322580645161288</v>
      </c>
    </row>
    <row r="126" spans="4:40" ht="66.599999999999994" thickBot="1" x14ac:dyDescent="0.35">
      <c r="D126" s="7">
        <v>2</v>
      </c>
      <c r="E126" s="7" t="s">
        <v>198</v>
      </c>
      <c r="F126" s="8" t="s">
        <v>202</v>
      </c>
      <c r="G126" s="8" t="s">
        <v>201</v>
      </c>
      <c r="H126" s="8" t="s">
        <v>200</v>
      </c>
      <c r="I126" s="7">
        <v>64.5</v>
      </c>
      <c r="J126" s="7" t="s">
        <v>101</v>
      </c>
      <c r="K126" s="7" t="s">
        <v>199</v>
      </c>
      <c r="L126" s="7" t="s">
        <v>101</v>
      </c>
      <c r="M126" s="7" t="s">
        <v>3</v>
      </c>
      <c r="N126" s="7">
        <v>510</v>
      </c>
      <c r="O126" s="7">
        <v>9.5000000000000001E-2</v>
      </c>
      <c r="P126" s="7" t="s">
        <v>3</v>
      </c>
      <c r="Q126" s="7">
        <v>0</v>
      </c>
      <c r="R126" s="7">
        <v>1</v>
      </c>
      <c r="S126" s="4" t="s">
        <v>110</v>
      </c>
      <c r="T126" s="4" t="str">
        <f>+MID(H126,FIND("(",H126),LEN(H126)-FIND("(",H126)+1)</f>
        <v>(10)</v>
      </c>
      <c r="U126" s="4" t="s">
        <v>109</v>
      </c>
      <c r="V126" s="6" t="e">
        <f>40000*1/P126</f>
        <v>#VALUE!</v>
      </c>
      <c r="W126" s="6" t="e">
        <f>5000/P126</f>
        <v>#VALUE!</v>
      </c>
    </row>
    <row r="127" spans="4:40" ht="27" thickBot="1" x14ac:dyDescent="0.35">
      <c r="D127" s="7">
        <v>2</v>
      </c>
      <c r="E127" s="7" t="s">
        <v>198</v>
      </c>
      <c r="F127" s="8" t="s">
        <v>197</v>
      </c>
      <c r="G127" s="8" t="s">
        <v>196</v>
      </c>
      <c r="H127" s="8" t="s">
        <v>195</v>
      </c>
      <c r="I127" s="7">
        <v>67.2</v>
      </c>
      <c r="J127" s="7">
        <v>2.75</v>
      </c>
      <c r="K127" s="7">
        <v>2.5000000000000001E-2</v>
      </c>
      <c r="L127" s="7" t="s">
        <v>111</v>
      </c>
      <c r="M127" s="7">
        <v>0.14000000000000001</v>
      </c>
      <c r="N127" s="7" t="s">
        <v>3</v>
      </c>
      <c r="O127" s="7">
        <v>0.124</v>
      </c>
      <c r="P127" s="7">
        <v>189.3</v>
      </c>
      <c r="Q127" s="7">
        <v>0</v>
      </c>
      <c r="R127" s="7">
        <v>1</v>
      </c>
      <c r="S127" s="4" t="s">
        <v>2</v>
      </c>
      <c r="T127" s="4" t="str">
        <f>+MID(H127,FIND("(",H127),LEN(H127)-FIND("(",H127)+1)</f>
        <v>(11)</v>
      </c>
      <c r="U127" s="4" t="s">
        <v>1</v>
      </c>
      <c r="V127" s="6">
        <f>40000*1/P127</f>
        <v>211.30480718436343</v>
      </c>
      <c r="W127" s="6">
        <f>5000/P127</f>
        <v>26.413100898045428</v>
      </c>
    </row>
    <row r="128" spans="4:40" ht="66.599999999999994" thickBot="1" x14ac:dyDescent="0.35">
      <c r="D128" s="7">
        <v>2</v>
      </c>
      <c r="E128" s="7" t="s">
        <v>144</v>
      </c>
      <c r="F128" s="8" t="s">
        <v>194</v>
      </c>
      <c r="G128" s="8" t="s">
        <v>193</v>
      </c>
      <c r="H128" s="8" t="s">
        <v>192</v>
      </c>
      <c r="I128" s="7" t="s">
        <v>191</v>
      </c>
      <c r="J128" s="7">
        <v>3.68</v>
      </c>
      <c r="K128" s="7">
        <v>0.13</v>
      </c>
      <c r="L128" s="7" t="s">
        <v>190</v>
      </c>
      <c r="M128" s="7">
        <v>0.14000000000000001</v>
      </c>
      <c r="N128" s="7" t="s">
        <v>3</v>
      </c>
      <c r="O128" s="7">
        <v>0.30199999999999999</v>
      </c>
      <c r="P128" s="7">
        <v>1943</v>
      </c>
      <c r="Q128" s="7">
        <v>5.7000000000000002E-2</v>
      </c>
      <c r="R128" s="7">
        <v>1</v>
      </c>
      <c r="S128" s="4" t="s">
        <v>161</v>
      </c>
      <c r="T128" s="4" t="str">
        <f>+MID(H128,FIND("(",H128),LEN(H128)-FIND("(",H128)+1)</f>
        <v>(CH3)3+ CClF2CH3 (10;11)</v>
      </c>
      <c r="U128" s="4" t="s">
        <v>109</v>
      </c>
      <c r="V128" s="6">
        <f>40000*1/P128</f>
        <v>20.586721564590839</v>
      </c>
      <c r="W128" s="6">
        <f>5000/P128</f>
        <v>2.5733401955738548</v>
      </c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4:40" ht="66.599999999999994" thickBot="1" x14ac:dyDescent="0.35">
      <c r="D129" s="7">
        <v>2</v>
      </c>
      <c r="E129" s="7" t="s">
        <v>144</v>
      </c>
      <c r="F129" s="8" t="s">
        <v>189</v>
      </c>
      <c r="G129" s="8" t="s">
        <v>188</v>
      </c>
      <c r="H129" s="8" t="s">
        <v>183</v>
      </c>
      <c r="I129" s="7">
        <v>82.4</v>
      </c>
      <c r="J129" s="7">
        <v>3.37</v>
      </c>
      <c r="K129" s="7" t="s">
        <v>187</v>
      </c>
      <c r="L129" s="7" t="s">
        <v>186</v>
      </c>
      <c r="M129" s="7">
        <v>7.3999999999999996E-2</v>
      </c>
      <c r="N129" s="7" t="s">
        <v>3</v>
      </c>
      <c r="O129" s="7">
        <v>0.186</v>
      </c>
      <c r="P129" s="7">
        <v>1597</v>
      </c>
      <c r="Q129" s="7">
        <v>4.8000000000000001E-2</v>
      </c>
      <c r="R129" s="7">
        <v>1</v>
      </c>
      <c r="S129" s="4" t="s">
        <v>161</v>
      </c>
      <c r="T129" s="4" t="str">
        <f>+MID(H129,FIND("(",H129),LEN(H129)-FIND("(",H129)+1)</f>
        <v>(10;11)</v>
      </c>
      <c r="U129" s="4" t="s">
        <v>109</v>
      </c>
      <c r="V129" s="6">
        <f>40000*1/P129</f>
        <v>25.046963055729492</v>
      </c>
      <c r="W129" s="6">
        <f>5000/P129</f>
        <v>3.1308703819661865</v>
      </c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4:40" ht="66.599999999999994" thickBot="1" x14ac:dyDescent="0.35">
      <c r="D130" s="7">
        <v>2</v>
      </c>
      <c r="E130" s="7" t="s">
        <v>144</v>
      </c>
      <c r="F130" s="8" t="s">
        <v>185</v>
      </c>
      <c r="G130" s="8" t="s">
        <v>184</v>
      </c>
      <c r="H130" s="8" t="s">
        <v>183</v>
      </c>
      <c r="I130" s="7">
        <v>83.1</v>
      </c>
      <c r="J130" s="7">
        <v>3.4</v>
      </c>
      <c r="K130" s="7">
        <v>0.05</v>
      </c>
      <c r="L130" s="7" t="s">
        <v>182</v>
      </c>
      <c r="M130" s="7">
        <v>4.3999999999999997E-2</v>
      </c>
      <c r="N130" s="7" t="s">
        <v>3</v>
      </c>
      <c r="O130" s="7">
        <v>0.23899999999999999</v>
      </c>
      <c r="P130" s="7">
        <v>1705</v>
      </c>
      <c r="Q130" s="7">
        <v>5.1999999999999998E-2</v>
      </c>
      <c r="R130" s="7">
        <v>1</v>
      </c>
      <c r="S130" s="4" t="s">
        <v>161</v>
      </c>
      <c r="T130" s="4" t="str">
        <f>+MID(H130,FIND("(",H130),LEN(H130)-FIND("(",H130)+1)</f>
        <v>(10;11)</v>
      </c>
      <c r="U130" s="4" t="s">
        <v>109</v>
      </c>
      <c r="V130" s="6">
        <f>40000*1/P130</f>
        <v>23.460410557184751</v>
      </c>
      <c r="W130" s="6">
        <f>5000/P130</f>
        <v>2.9325513196480939</v>
      </c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4:40" ht="66.599999999999994" thickBot="1" x14ac:dyDescent="0.35">
      <c r="D131" s="7">
        <v>2</v>
      </c>
      <c r="E131" s="7" t="s">
        <v>144</v>
      </c>
      <c r="F131" s="8" t="s">
        <v>181</v>
      </c>
      <c r="G131" s="8" t="s">
        <v>180</v>
      </c>
      <c r="H131" s="8" t="s">
        <v>179</v>
      </c>
      <c r="I131" s="7">
        <v>92.2</v>
      </c>
      <c r="J131" s="7">
        <v>3.77</v>
      </c>
      <c r="K131" s="7">
        <v>7.0000000000000007E-2</v>
      </c>
      <c r="L131" s="7" t="s">
        <v>178</v>
      </c>
      <c r="M131" s="7">
        <v>0.17</v>
      </c>
      <c r="N131" s="7" t="s">
        <v>3</v>
      </c>
      <c r="O131" s="7">
        <v>0.32900000000000001</v>
      </c>
      <c r="P131" s="7">
        <v>2286</v>
      </c>
      <c r="Q131" s="7">
        <v>5.5E-2</v>
      </c>
      <c r="R131" s="7">
        <v>1</v>
      </c>
      <c r="S131" s="4" t="s">
        <v>161</v>
      </c>
      <c r="T131" s="4" t="str">
        <f>+MID(H131,FIND("(",H131),LEN(H131)-FIND("(",H131)+1)</f>
        <v>(10;11)</v>
      </c>
      <c r="U131" s="4" t="s">
        <v>109</v>
      </c>
      <c r="V131" s="6">
        <f>40000*1/P131</f>
        <v>17.497812773403325</v>
      </c>
      <c r="W131" s="6">
        <f>5000/P131</f>
        <v>2.1872265966754156</v>
      </c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4:40" ht="27" thickBot="1" x14ac:dyDescent="0.35">
      <c r="D132" s="7">
        <v>2</v>
      </c>
      <c r="E132" s="7" t="s">
        <v>144</v>
      </c>
      <c r="F132" s="8" t="s">
        <v>177</v>
      </c>
      <c r="G132" s="8" t="s">
        <v>176</v>
      </c>
      <c r="H132" s="8" t="s">
        <v>175</v>
      </c>
      <c r="I132" s="7">
        <v>103.9</v>
      </c>
      <c r="J132" s="7">
        <v>4.25</v>
      </c>
      <c r="K132" s="7">
        <v>0.08</v>
      </c>
      <c r="L132" s="7" t="s">
        <v>174</v>
      </c>
      <c r="M132" s="7">
        <v>0.21</v>
      </c>
      <c r="N132" s="7" t="s">
        <v>3</v>
      </c>
      <c r="O132" s="7">
        <v>0.375</v>
      </c>
      <c r="P132" s="7">
        <v>2053</v>
      </c>
      <c r="Q132" s="7">
        <v>0</v>
      </c>
      <c r="R132" s="7">
        <v>1</v>
      </c>
      <c r="S132" s="4" t="s">
        <v>2</v>
      </c>
      <c r="T132" s="4" t="str">
        <f>+MID(H132,FIND("(",H132),LEN(H132)-FIND("(",H132)+1)</f>
        <v>(CH3)3 (11)</v>
      </c>
      <c r="U132" s="4" t="s">
        <v>173</v>
      </c>
      <c r="V132" s="6">
        <f>40000*1/P132</f>
        <v>19.48368241597662</v>
      </c>
      <c r="W132" s="6">
        <f>5000/P132</f>
        <v>2.4354603019970775</v>
      </c>
    </row>
    <row r="133" spans="4:40" ht="66.599999999999994" thickBot="1" x14ac:dyDescent="0.35">
      <c r="D133" s="7">
        <v>2</v>
      </c>
      <c r="E133" s="7" t="s">
        <v>144</v>
      </c>
      <c r="F133" s="8" t="s">
        <v>172</v>
      </c>
      <c r="G133" s="8" t="s">
        <v>171</v>
      </c>
      <c r="H133" s="8" t="s">
        <v>167</v>
      </c>
      <c r="I133" s="7">
        <v>81.900000000000006</v>
      </c>
      <c r="J133" s="7">
        <v>3.35</v>
      </c>
      <c r="K133" s="7">
        <v>0.04</v>
      </c>
      <c r="L133" s="7" t="s">
        <v>170</v>
      </c>
      <c r="M133" s="7">
        <v>0.19</v>
      </c>
      <c r="N133" s="7" t="s">
        <v>3</v>
      </c>
      <c r="O133" s="7">
        <v>0.188</v>
      </c>
      <c r="P133" s="7">
        <v>1507</v>
      </c>
      <c r="Q133" s="7">
        <v>2.8000000000000001E-2</v>
      </c>
      <c r="R133" s="7">
        <v>1</v>
      </c>
      <c r="S133" s="4" t="s">
        <v>161</v>
      </c>
      <c r="T133" s="4" t="str">
        <f>+MID(H133,FIND("(",H133),LEN(H133)-FIND("(",H133)+1)</f>
        <v>(10;11)</v>
      </c>
      <c r="U133" s="4" t="s">
        <v>109</v>
      </c>
      <c r="V133" s="6">
        <f>40000*1/P133</f>
        <v>26.542800265428003</v>
      </c>
      <c r="W133" s="6">
        <f>5000/P133</f>
        <v>3.3178500331785004</v>
      </c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4:40" ht="66.599999999999994" thickBot="1" x14ac:dyDescent="0.35">
      <c r="D134" s="7">
        <v>2</v>
      </c>
      <c r="E134" s="7" t="s">
        <v>144</v>
      </c>
      <c r="F134" s="8" t="s">
        <v>169</v>
      </c>
      <c r="G134" s="8" t="s">
        <v>168</v>
      </c>
      <c r="H134" s="8" t="s">
        <v>167</v>
      </c>
      <c r="I134" s="7">
        <v>70.2</v>
      </c>
      <c r="J134" s="7">
        <v>2.87</v>
      </c>
      <c r="K134" s="7">
        <v>0.03</v>
      </c>
      <c r="L134" s="7" t="s">
        <v>166</v>
      </c>
      <c r="M134" s="7">
        <v>0.15</v>
      </c>
      <c r="N134" s="7" t="s">
        <v>3</v>
      </c>
      <c r="O134" s="7">
        <v>0.13</v>
      </c>
      <c r="P134" s="7">
        <v>545.5</v>
      </c>
      <c r="Q134" s="7">
        <v>8.9999999999999993E-3</v>
      </c>
      <c r="R134" s="7">
        <v>1</v>
      </c>
      <c r="S134" s="4" t="s">
        <v>161</v>
      </c>
      <c r="T134" s="4" t="str">
        <f>+MID(H134,FIND("(",H134),LEN(H134)-FIND("(",H134)+1)</f>
        <v>(10;11)</v>
      </c>
      <c r="U134" s="4" t="s">
        <v>109</v>
      </c>
      <c r="V134" s="6">
        <f>40000*1/P134</f>
        <v>73.327222731439051</v>
      </c>
      <c r="W134" s="6">
        <f>5000/P134</f>
        <v>9.1659028414298813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4:40" ht="66.599999999999994" thickBot="1" x14ac:dyDescent="0.35">
      <c r="D135" s="7">
        <v>2</v>
      </c>
      <c r="E135" s="7" t="s">
        <v>144</v>
      </c>
      <c r="F135" s="8" t="s">
        <v>165</v>
      </c>
      <c r="G135" s="8" t="s">
        <v>164</v>
      </c>
      <c r="H135" s="8" t="s">
        <v>163</v>
      </c>
      <c r="I135" s="7">
        <v>84.6</v>
      </c>
      <c r="J135" s="7">
        <v>3.46</v>
      </c>
      <c r="K135" s="7">
        <v>0.06</v>
      </c>
      <c r="L135" s="7" t="s">
        <v>162</v>
      </c>
      <c r="M135" s="7">
        <v>0.2</v>
      </c>
      <c r="N135" s="7" t="s">
        <v>3</v>
      </c>
      <c r="O135" s="7">
        <v>0.31</v>
      </c>
      <c r="P135" s="7">
        <v>1741</v>
      </c>
      <c r="Q135" s="7">
        <v>3.3000000000000002E-2</v>
      </c>
      <c r="R135" s="7">
        <v>1</v>
      </c>
      <c r="S135" s="4" t="s">
        <v>161</v>
      </c>
      <c r="T135" s="4" t="str">
        <f>+MID(H135,FIND("(",H135),LEN(H135)-FIND("(",H135)+1)</f>
        <v>(10;11)</v>
      </c>
      <c r="U135" s="4" t="s">
        <v>109</v>
      </c>
      <c r="V135" s="6">
        <f>40000*1/P135</f>
        <v>22.975301550832853</v>
      </c>
      <c r="W135" s="6">
        <f>5000/P135</f>
        <v>2.8719126938541066</v>
      </c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4:40" ht="27" thickBot="1" x14ac:dyDescent="0.35">
      <c r="D136" s="7">
        <v>2</v>
      </c>
      <c r="E136" s="7" t="s">
        <v>144</v>
      </c>
      <c r="F136" s="8" t="s">
        <v>160</v>
      </c>
      <c r="G136" s="8" t="s">
        <v>159</v>
      </c>
      <c r="H136" s="8" t="s">
        <v>155</v>
      </c>
      <c r="I136" s="7">
        <v>109.3</v>
      </c>
      <c r="J136" s="7">
        <v>4.47</v>
      </c>
      <c r="K136" s="7">
        <v>0.05</v>
      </c>
      <c r="L136" s="7" t="s">
        <v>158</v>
      </c>
      <c r="M136" s="7">
        <v>0.31</v>
      </c>
      <c r="N136" s="7" t="s">
        <v>3</v>
      </c>
      <c r="O136" s="7">
        <v>0.25</v>
      </c>
      <c r="P136" s="7">
        <v>2967</v>
      </c>
      <c r="Q136" s="7">
        <v>0</v>
      </c>
      <c r="R136" s="7">
        <v>1</v>
      </c>
      <c r="S136" s="4" t="s">
        <v>2</v>
      </c>
      <c r="T136" s="4" t="str">
        <f>+MID(H136,FIND("(",H136),LEN(H136)-FIND("(",H136)+1)</f>
        <v>(11)</v>
      </c>
      <c r="U136" s="4" t="s">
        <v>1</v>
      </c>
      <c r="V136" s="6">
        <f>40000*1/P136</f>
        <v>13.481631277384563</v>
      </c>
      <c r="W136" s="6">
        <f>5000/P136</f>
        <v>1.6852039096730704</v>
      </c>
    </row>
    <row r="137" spans="4:40" ht="27" thickBot="1" x14ac:dyDescent="0.35">
      <c r="D137" s="7">
        <v>2</v>
      </c>
      <c r="E137" s="7" t="s">
        <v>144</v>
      </c>
      <c r="F137" s="8" t="s">
        <v>157</v>
      </c>
      <c r="G137" s="8" t="s">
        <v>156</v>
      </c>
      <c r="H137" s="8" t="s">
        <v>155</v>
      </c>
      <c r="I137" s="7">
        <v>105.2</v>
      </c>
      <c r="J137" s="7">
        <v>4.3</v>
      </c>
      <c r="K137" s="7">
        <v>0.06</v>
      </c>
      <c r="L137" s="7" t="s">
        <v>154</v>
      </c>
      <c r="M137" s="7">
        <v>0.26</v>
      </c>
      <c r="N137" s="7" t="s">
        <v>3</v>
      </c>
      <c r="O137" s="7">
        <v>0.28999999999999998</v>
      </c>
      <c r="P137" s="7">
        <v>2384</v>
      </c>
      <c r="Q137" s="7">
        <v>0</v>
      </c>
      <c r="R137" s="7">
        <v>1</v>
      </c>
      <c r="S137" s="4" t="s">
        <v>2</v>
      </c>
      <c r="T137" s="4" t="str">
        <f>+MID(H137,FIND("(",H137),LEN(H137)-FIND("(",H137)+1)</f>
        <v>(11)</v>
      </c>
      <c r="U137" s="4" t="s">
        <v>1</v>
      </c>
      <c r="V137" s="6">
        <f>40000*1/P137</f>
        <v>16.778523489932887</v>
      </c>
      <c r="W137" s="6">
        <f>5000/P137</f>
        <v>2.0973154362416109</v>
      </c>
    </row>
    <row r="138" spans="4:40" ht="27" thickBot="1" x14ac:dyDescent="0.35">
      <c r="D138" s="7">
        <v>2</v>
      </c>
      <c r="E138" s="7" t="s">
        <v>144</v>
      </c>
      <c r="F138" s="8" t="s">
        <v>153</v>
      </c>
      <c r="G138" s="8" t="s">
        <v>152</v>
      </c>
      <c r="H138" s="8" t="s">
        <v>151</v>
      </c>
      <c r="I138" s="7">
        <v>71.2</v>
      </c>
      <c r="J138" s="7">
        <v>2.91</v>
      </c>
      <c r="K138" s="7">
        <v>6.0999999999999999E-2</v>
      </c>
      <c r="L138" s="7" t="s">
        <v>150</v>
      </c>
      <c r="M138" s="7" t="s">
        <v>149</v>
      </c>
      <c r="N138" s="7" t="s">
        <v>3</v>
      </c>
      <c r="O138" s="7">
        <v>0.30399999999999999</v>
      </c>
      <c r="P138" s="7">
        <v>1983</v>
      </c>
      <c r="Q138" s="7">
        <v>0</v>
      </c>
      <c r="R138" s="7">
        <v>1</v>
      </c>
      <c r="S138" s="4" t="s">
        <v>2</v>
      </c>
      <c r="T138" s="4" t="str">
        <f>+MID(H138,FIND("(",H138),LEN(H138)-FIND("(",H138)+1)</f>
        <v>(CH3)3 (11)</v>
      </c>
      <c r="U138" s="4" t="s">
        <v>1</v>
      </c>
      <c r="V138" s="6">
        <f>40000*1/P138</f>
        <v>20.17145738779627</v>
      </c>
      <c r="W138" s="6">
        <f>5000/P138</f>
        <v>2.5214321734745337</v>
      </c>
    </row>
    <row r="139" spans="4:40" ht="37.799999999999997" customHeight="1" thickBot="1" x14ac:dyDescent="0.35">
      <c r="D139" s="9">
        <v>2</v>
      </c>
      <c r="E139" s="9" t="s">
        <v>144</v>
      </c>
      <c r="F139" s="10" t="s">
        <v>148</v>
      </c>
      <c r="G139" s="10" t="s">
        <v>147</v>
      </c>
      <c r="H139" s="10" t="s">
        <v>146</v>
      </c>
      <c r="I139" s="9">
        <v>66.2</v>
      </c>
      <c r="J139" s="9">
        <v>2.71</v>
      </c>
      <c r="K139" s="9">
        <v>2.5000000000000001E-2</v>
      </c>
      <c r="L139" s="9" t="s">
        <v>145</v>
      </c>
      <c r="M139" s="9">
        <v>0.14000000000000001</v>
      </c>
      <c r="N139" s="9" t="s">
        <v>3</v>
      </c>
      <c r="O139" s="9">
        <v>0.124</v>
      </c>
      <c r="P139" s="9">
        <v>144.19999999999999</v>
      </c>
      <c r="Q139" s="9">
        <v>0</v>
      </c>
      <c r="R139" s="9">
        <v>1</v>
      </c>
      <c r="S139" s="4" t="s">
        <v>2</v>
      </c>
      <c r="T139" s="4" t="str">
        <f>+MID(H139,FIND("(",H139),LEN(H139)-FIND("(",H139)+1)</f>
        <v>(11)</v>
      </c>
      <c r="U139" s="4" t="s">
        <v>1</v>
      </c>
      <c r="V139" s="6">
        <f>40000*1/P139</f>
        <v>277.39251040221916</v>
      </c>
      <c r="W139" s="6">
        <f>5000/P139</f>
        <v>34.674063800277395</v>
      </c>
    </row>
    <row r="140" spans="4:40" ht="40.200000000000003" thickBot="1" x14ac:dyDescent="0.35">
      <c r="D140" s="7">
        <v>2</v>
      </c>
      <c r="E140" s="7" t="s">
        <v>144</v>
      </c>
      <c r="F140" s="8" t="s">
        <v>7</v>
      </c>
      <c r="G140" s="8" t="s">
        <v>143</v>
      </c>
      <c r="H140" s="8" t="s">
        <v>142</v>
      </c>
      <c r="I140" s="7">
        <v>108.45</v>
      </c>
      <c r="J140" s="7" t="s">
        <v>101</v>
      </c>
      <c r="K140" s="7">
        <v>9.4E-2</v>
      </c>
      <c r="L140" s="7" t="s">
        <v>141</v>
      </c>
      <c r="M140" s="7" t="s">
        <v>3</v>
      </c>
      <c r="N140" s="7" t="s">
        <v>3</v>
      </c>
      <c r="O140" s="7" t="s">
        <v>3</v>
      </c>
      <c r="P140" s="7">
        <v>2578.1</v>
      </c>
      <c r="Q140" s="7">
        <v>0</v>
      </c>
      <c r="R140" s="7">
        <v>1</v>
      </c>
      <c r="S140" s="4" t="s">
        <v>2</v>
      </c>
      <c r="T140" s="4" t="str">
        <f>+MID(H140,FIND("(",H140),LEN(H140)-FIND("(",H140)+1)</f>
        <v>(11)</v>
      </c>
      <c r="U140" s="4" t="s">
        <v>1</v>
      </c>
      <c r="V140" s="6">
        <f>40000*1/P140</f>
        <v>15.515301966564525</v>
      </c>
      <c r="W140" s="6">
        <f>5000/P140</f>
        <v>1.9394127458205657</v>
      </c>
    </row>
    <row r="141" spans="4:40" ht="66.599999999999994" thickBot="1" x14ac:dyDescent="0.35">
      <c r="D141" s="7">
        <v>2</v>
      </c>
      <c r="E141" s="7" t="s">
        <v>130</v>
      </c>
      <c r="F141" s="8" t="s">
        <v>140</v>
      </c>
      <c r="G141" s="8" t="s">
        <v>139</v>
      </c>
      <c r="H141" s="8" t="s">
        <v>138</v>
      </c>
      <c r="I141" s="7">
        <v>103</v>
      </c>
      <c r="J141" s="7" t="s">
        <v>101</v>
      </c>
      <c r="K141" s="7">
        <v>0.1</v>
      </c>
      <c r="L141" s="7">
        <v>8.92</v>
      </c>
      <c r="M141" s="7" t="s">
        <v>3</v>
      </c>
      <c r="N141" s="7" t="s">
        <v>3</v>
      </c>
      <c r="O141" s="7" t="s">
        <v>124</v>
      </c>
      <c r="P141" s="7" t="s">
        <v>3</v>
      </c>
      <c r="Q141" s="7">
        <v>0</v>
      </c>
      <c r="R141" s="7">
        <v>1</v>
      </c>
      <c r="S141" s="4" t="s">
        <v>110</v>
      </c>
      <c r="T141" s="4" t="str">
        <f>+MID(H141,FIND("(",H141),LEN(H141)-FIND("(",H141)+1)</f>
        <v>(10)</v>
      </c>
      <c r="U141" s="4" t="s">
        <v>109</v>
      </c>
      <c r="V141" s="6" t="e">
        <f>40000*1/P141</f>
        <v>#VALUE!</v>
      </c>
      <c r="W141" s="6" t="e">
        <f>5000/P141</f>
        <v>#VALUE!</v>
      </c>
    </row>
    <row r="142" spans="4:40" ht="66.599999999999994" thickBot="1" x14ac:dyDescent="0.35">
      <c r="D142" s="7">
        <v>2</v>
      </c>
      <c r="E142" s="7" t="s">
        <v>130</v>
      </c>
      <c r="F142" s="8" t="s">
        <v>137</v>
      </c>
      <c r="G142" s="8" t="s">
        <v>136</v>
      </c>
      <c r="H142" s="8" t="s">
        <v>135</v>
      </c>
      <c r="I142" s="7">
        <v>153</v>
      </c>
      <c r="J142" s="7" t="s">
        <v>134</v>
      </c>
      <c r="K142" s="7">
        <v>0.1</v>
      </c>
      <c r="L142" s="7">
        <v>27</v>
      </c>
      <c r="M142" s="7">
        <v>5.7000000000000002E-2</v>
      </c>
      <c r="N142" s="7">
        <v>730</v>
      </c>
      <c r="O142" s="7" t="s">
        <v>124</v>
      </c>
      <c r="P142" s="7">
        <v>77</v>
      </c>
      <c r="Q142" s="7">
        <v>0.02</v>
      </c>
      <c r="R142" s="7">
        <v>2</v>
      </c>
      <c r="S142" s="4" t="s">
        <v>110</v>
      </c>
      <c r="T142" s="4" t="str">
        <f>+MID(H142,FIND("(",H142),LEN(H142)-FIND("(",H142)+1)</f>
        <v>(10)</v>
      </c>
      <c r="U142" s="4" t="s">
        <v>109</v>
      </c>
      <c r="V142" s="6">
        <f>40000*1/P142</f>
        <v>519.48051948051943</v>
      </c>
      <c r="W142" s="6">
        <f>5000/P142</f>
        <v>64.935064935064929</v>
      </c>
    </row>
    <row r="143" spans="4:40" ht="27" thickBot="1" x14ac:dyDescent="0.35">
      <c r="D143" s="7">
        <v>2</v>
      </c>
      <c r="E143" s="7" t="s">
        <v>130</v>
      </c>
      <c r="F143" s="8" t="s">
        <v>133</v>
      </c>
      <c r="G143" s="8" t="s">
        <v>132</v>
      </c>
      <c r="H143" s="8" t="s">
        <v>131</v>
      </c>
      <c r="I143" s="7">
        <v>134</v>
      </c>
      <c r="J143" s="7">
        <v>5.48</v>
      </c>
      <c r="K143" s="7">
        <v>0.19</v>
      </c>
      <c r="L143" s="7">
        <v>15</v>
      </c>
      <c r="M143" s="7">
        <v>0.19</v>
      </c>
      <c r="N143" s="7" t="s">
        <v>3</v>
      </c>
      <c r="O143" s="7" t="s">
        <v>124</v>
      </c>
      <c r="P143" s="7">
        <v>1030</v>
      </c>
      <c r="Q143" s="7">
        <v>0</v>
      </c>
      <c r="R143" s="7">
        <v>2</v>
      </c>
      <c r="S143" s="4" t="s">
        <v>2</v>
      </c>
      <c r="T143" s="4" t="str">
        <f>+MID(H143,FIND("(",H143),LEN(H143)-FIND("(",H143)+1)</f>
        <v>(11)</v>
      </c>
      <c r="U143" s="4" t="s">
        <v>1</v>
      </c>
      <c r="V143" s="6">
        <f>40000*1/P143</f>
        <v>38.834951456310677</v>
      </c>
      <c r="W143" s="6">
        <f>5000/P143</f>
        <v>4.8543689320388346</v>
      </c>
    </row>
    <row r="144" spans="4:40" ht="53.4" thickBot="1" x14ac:dyDescent="0.35">
      <c r="D144" s="7">
        <v>2</v>
      </c>
      <c r="E144" s="7" t="s">
        <v>130</v>
      </c>
      <c r="F144" s="8" t="s">
        <v>129</v>
      </c>
      <c r="G144" s="8" t="s">
        <v>128</v>
      </c>
      <c r="H144" s="8" t="s">
        <v>127</v>
      </c>
      <c r="I144" s="7">
        <v>64.099999999999994</v>
      </c>
      <c r="J144" s="7" t="s">
        <v>101</v>
      </c>
      <c r="K144" s="7" t="s">
        <v>126</v>
      </c>
      <c r="L144" s="7" t="s">
        <v>125</v>
      </c>
      <c r="M144" s="7" t="s">
        <v>3</v>
      </c>
      <c r="N144" s="7" t="s">
        <v>3</v>
      </c>
      <c r="O144" s="7" t="s">
        <v>124</v>
      </c>
      <c r="P144" s="7" t="s">
        <v>3</v>
      </c>
      <c r="Q144" s="7">
        <v>0</v>
      </c>
      <c r="R144" s="7">
        <v>1</v>
      </c>
      <c r="S144" s="4" t="s">
        <v>118</v>
      </c>
      <c r="T144" s="4" t="e">
        <f>+MID(H144,FIND("(",H144),LEN(H144)-FIND("(",H144)+1)</f>
        <v>#VALUE!</v>
      </c>
      <c r="U144" s="4" t="s">
        <v>9</v>
      </c>
      <c r="V144" s="6" t="e">
        <f>40000*1/P144</f>
        <v>#VALUE!</v>
      </c>
      <c r="W144" s="6" t="e">
        <f>5000/P144</f>
        <v>#VALUE!</v>
      </c>
    </row>
    <row r="145" spans="4:23" ht="53.4" thickBot="1" x14ac:dyDescent="0.35">
      <c r="D145" s="7">
        <v>2</v>
      </c>
      <c r="E145" s="7" t="s">
        <v>123</v>
      </c>
      <c r="F145" s="8" t="s">
        <v>122</v>
      </c>
      <c r="G145" s="8" t="s">
        <v>121</v>
      </c>
      <c r="H145" s="8" t="s">
        <v>120</v>
      </c>
      <c r="I145" s="7">
        <v>17</v>
      </c>
      <c r="J145" s="7">
        <v>0.7</v>
      </c>
      <c r="K145" s="7">
        <v>3.5E-4</v>
      </c>
      <c r="L145" s="7" t="s">
        <v>119</v>
      </c>
      <c r="M145" s="7">
        <v>2.2000000000000001E-4</v>
      </c>
      <c r="N145" s="7">
        <v>630</v>
      </c>
      <c r="O145" s="7">
        <v>0.11600000000000001</v>
      </c>
      <c r="P145" s="7">
        <v>0</v>
      </c>
      <c r="Q145" s="7">
        <v>0</v>
      </c>
      <c r="R145" s="7">
        <v>1</v>
      </c>
      <c r="S145" s="4" t="s">
        <v>118</v>
      </c>
      <c r="T145" s="4" t="e">
        <f>+MID(H145,FIND("(",H145),LEN(H145)-FIND("(",H145)+1)</f>
        <v>#VALUE!</v>
      </c>
      <c r="U145" s="4" t="s">
        <v>9</v>
      </c>
      <c r="V145" s="6" t="e">
        <f>40000*1/P145</f>
        <v>#DIV/0!</v>
      </c>
      <c r="W145" s="6" t="e">
        <f>5000/P145</f>
        <v>#DIV/0!</v>
      </c>
    </row>
    <row r="146" spans="4:23" ht="66.599999999999994" thickBot="1" x14ac:dyDescent="0.35">
      <c r="D146" s="7">
        <v>2</v>
      </c>
      <c r="E146" s="7" t="s">
        <v>105</v>
      </c>
      <c r="F146" s="8" t="s">
        <v>117</v>
      </c>
      <c r="G146" s="8" t="s">
        <v>116</v>
      </c>
      <c r="H146" s="8" t="s">
        <v>115</v>
      </c>
      <c r="I146" s="7">
        <v>84.9</v>
      </c>
      <c r="J146" s="7">
        <v>3.47</v>
      </c>
      <c r="K146" s="7">
        <v>1.7000000000000001E-2</v>
      </c>
      <c r="L146" s="7">
        <v>40</v>
      </c>
      <c r="M146" s="7" t="s">
        <v>3</v>
      </c>
      <c r="N146" s="7">
        <v>662</v>
      </c>
      <c r="O146" s="7">
        <v>0.41699999999999998</v>
      </c>
      <c r="P146" s="7">
        <v>9</v>
      </c>
      <c r="Q146" s="7" t="s">
        <v>3</v>
      </c>
      <c r="R146" s="7">
        <v>2</v>
      </c>
      <c r="S146" s="4" t="s">
        <v>110</v>
      </c>
      <c r="T146" s="4" t="str">
        <f>+MID(H146,FIND("(",H146),LEN(H146)-FIND("(",H146)+1)</f>
        <v>(10)</v>
      </c>
      <c r="U146" s="4" t="s">
        <v>109</v>
      </c>
      <c r="V146" s="6">
        <f>40000*1/P146</f>
        <v>4444.4444444444443</v>
      </c>
      <c r="W146" s="6">
        <f>5000/P146</f>
        <v>555.55555555555554</v>
      </c>
    </row>
    <row r="147" spans="4:23" ht="66.599999999999994" thickBot="1" x14ac:dyDescent="0.35">
      <c r="D147" s="7">
        <v>2</v>
      </c>
      <c r="E147" s="7" t="s">
        <v>105</v>
      </c>
      <c r="F147" s="8" t="s">
        <v>114</v>
      </c>
      <c r="G147" s="8" t="s">
        <v>113</v>
      </c>
      <c r="H147" s="8" t="s">
        <v>112</v>
      </c>
      <c r="I147" s="7">
        <v>50.5</v>
      </c>
      <c r="J147" s="7" t="s">
        <v>101</v>
      </c>
      <c r="K147" s="7">
        <v>2.1000000000000001E-2</v>
      </c>
      <c r="L147" s="7" t="s">
        <v>111</v>
      </c>
      <c r="M147" s="7" t="s">
        <v>3</v>
      </c>
      <c r="N147" s="7">
        <v>625</v>
      </c>
      <c r="O147" s="7">
        <v>0.14699999999999999</v>
      </c>
      <c r="P147" s="7" t="s">
        <v>3</v>
      </c>
      <c r="Q147" s="7">
        <v>0</v>
      </c>
      <c r="R147" s="7">
        <v>1</v>
      </c>
      <c r="S147" s="4" t="s">
        <v>110</v>
      </c>
      <c r="T147" s="4" t="str">
        <f>+MID(H147,FIND("(",H147),LEN(H147)-FIND("(",H147)+1)</f>
        <v>(10)</v>
      </c>
      <c r="U147" s="4" t="s">
        <v>109</v>
      </c>
      <c r="V147" s="6" t="e">
        <f>40000*1/P147</f>
        <v>#VALUE!</v>
      </c>
      <c r="W147" s="6" t="e">
        <f>5000/P147</f>
        <v>#VALUE!</v>
      </c>
    </row>
    <row r="148" spans="4:23" ht="53.4" thickBot="1" x14ac:dyDescent="0.35">
      <c r="D148" s="7">
        <v>2</v>
      </c>
      <c r="E148" s="7" t="s">
        <v>105</v>
      </c>
      <c r="F148" s="8" t="s">
        <v>108</v>
      </c>
      <c r="G148" s="8" t="s">
        <v>107</v>
      </c>
      <c r="H148" s="8" t="s">
        <v>106</v>
      </c>
      <c r="I148" s="7">
        <v>60</v>
      </c>
      <c r="J148" s="7" t="s">
        <v>101</v>
      </c>
      <c r="K148" s="7">
        <v>1.2E-2</v>
      </c>
      <c r="L148" s="7">
        <v>31.2</v>
      </c>
      <c r="M148" s="7" t="s">
        <v>3</v>
      </c>
      <c r="N148" s="7">
        <v>456</v>
      </c>
      <c r="O148" s="7">
        <v>0.123</v>
      </c>
      <c r="P148" s="7" t="s">
        <v>3</v>
      </c>
      <c r="Q148" s="7">
        <v>0</v>
      </c>
      <c r="R148" s="7">
        <v>1</v>
      </c>
      <c r="S148" s="4" t="s">
        <v>10</v>
      </c>
      <c r="T148" s="4" t="e">
        <f>+MID(H148,FIND("(",H148),LEN(H148)-FIND("(",H148)+1)</f>
        <v>#VALUE!</v>
      </c>
      <c r="U148" s="4" t="s">
        <v>9</v>
      </c>
      <c r="V148" s="6" t="e">
        <f>40000*1/P148</f>
        <v>#VALUE!</v>
      </c>
      <c r="W148" s="6" t="e">
        <f>5000/P148</f>
        <v>#VALUE!</v>
      </c>
    </row>
    <row r="149" spans="4:23" ht="53.4" thickBot="1" x14ac:dyDescent="0.35">
      <c r="D149" s="7">
        <v>2</v>
      </c>
      <c r="E149" s="7" t="s">
        <v>105</v>
      </c>
      <c r="F149" s="8" t="s">
        <v>104</v>
      </c>
      <c r="G149" s="8" t="s">
        <v>103</v>
      </c>
      <c r="H149" s="8" t="s">
        <v>102</v>
      </c>
      <c r="I149" s="7">
        <v>96.9</v>
      </c>
      <c r="J149" s="7" t="s">
        <v>101</v>
      </c>
      <c r="K149" s="7" t="s">
        <v>3</v>
      </c>
      <c r="L149" s="7"/>
      <c r="M149" s="7" t="s">
        <v>3</v>
      </c>
      <c r="N149" s="7">
        <v>458</v>
      </c>
      <c r="O149" s="7">
        <v>0.246</v>
      </c>
      <c r="P149" s="7" t="s">
        <v>3</v>
      </c>
      <c r="Q149" s="7">
        <v>0</v>
      </c>
      <c r="R149" s="7">
        <v>1</v>
      </c>
      <c r="S149" s="4" t="s">
        <v>10</v>
      </c>
      <c r="T149" s="4" t="e">
        <f>+MID(H149,FIND("(",H149),LEN(H149)-FIND("(",H149)+1)</f>
        <v>#VALUE!</v>
      </c>
      <c r="U149" s="4" t="s">
        <v>9</v>
      </c>
      <c r="V149" s="6" t="e">
        <f>40000*1/P149</f>
        <v>#VALUE!</v>
      </c>
      <c r="W149" s="6" t="e">
        <f>5000/P149</f>
        <v>#VALUE!</v>
      </c>
    </row>
    <row r="150" spans="4:23" ht="53.4" thickBot="1" x14ac:dyDescent="0.35">
      <c r="D150" s="7">
        <v>3</v>
      </c>
      <c r="E150" s="7" t="s">
        <v>56</v>
      </c>
      <c r="F150" s="8" t="s">
        <v>100</v>
      </c>
      <c r="G150" s="8" t="s">
        <v>99</v>
      </c>
      <c r="H150" s="8" t="s">
        <v>98</v>
      </c>
      <c r="I150" s="7">
        <v>16</v>
      </c>
      <c r="J150" s="7" t="s">
        <v>97</v>
      </c>
      <c r="K150" s="7">
        <v>6.0000000000000001E-3</v>
      </c>
      <c r="L150" s="7" t="s">
        <v>96</v>
      </c>
      <c r="M150" s="7" t="s">
        <v>3</v>
      </c>
      <c r="N150" s="7">
        <v>645</v>
      </c>
      <c r="O150" s="7">
        <v>3.2000000000000001E-2</v>
      </c>
      <c r="P150" s="7">
        <v>25</v>
      </c>
      <c r="Q150" s="7">
        <v>0</v>
      </c>
      <c r="R150" s="7">
        <v>1</v>
      </c>
      <c r="S150" s="4" t="s">
        <v>10</v>
      </c>
      <c r="T150" s="4" t="e">
        <f>+MID(H150,FIND("(",H150),LEN(H150)-FIND("(",H150)+1)</f>
        <v>#VALUE!</v>
      </c>
      <c r="U150" s="4" t="s">
        <v>9</v>
      </c>
      <c r="V150" s="6">
        <f>40000*1/P150</f>
        <v>1600</v>
      </c>
      <c r="W150" s="6">
        <f>5000/P150</f>
        <v>200</v>
      </c>
    </row>
    <row r="151" spans="4:23" ht="53.4" thickBot="1" x14ac:dyDescent="0.35">
      <c r="D151" s="7">
        <v>3</v>
      </c>
      <c r="E151" s="7" t="s">
        <v>56</v>
      </c>
      <c r="F151" s="8" t="s">
        <v>95</v>
      </c>
      <c r="G151" s="8" t="s">
        <v>94</v>
      </c>
      <c r="H151" s="8" t="s">
        <v>93</v>
      </c>
      <c r="I151" s="7">
        <v>30</v>
      </c>
      <c r="J151" s="7">
        <v>1.23</v>
      </c>
      <c r="K151" s="7">
        <v>8.6E-3</v>
      </c>
      <c r="L151" s="7" t="s">
        <v>92</v>
      </c>
      <c r="M151" s="7">
        <v>8.6E-3</v>
      </c>
      <c r="N151" s="7">
        <v>515</v>
      </c>
      <c r="O151" s="7">
        <v>3.7999999999999999E-2</v>
      </c>
      <c r="P151" s="7">
        <v>6</v>
      </c>
      <c r="Q151" s="7">
        <v>0</v>
      </c>
      <c r="R151" s="7">
        <v>1</v>
      </c>
      <c r="S151" s="4" t="s">
        <v>10</v>
      </c>
      <c r="T151" s="4" t="e">
        <f>+MID(H151,FIND("(",H151),LEN(H151)-FIND("(",H151)+1)</f>
        <v>#VALUE!</v>
      </c>
      <c r="U151" s="4" t="s">
        <v>9</v>
      </c>
      <c r="V151" s="6">
        <f>40000*1/P151</f>
        <v>6666.666666666667</v>
      </c>
      <c r="W151" s="6">
        <f>5000/P151</f>
        <v>833.33333333333337</v>
      </c>
    </row>
    <row r="152" spans="4:23" ht="53.4" thickBot="1" x14ac:dyDescent="0.35">
      <c r="D152" s="7">
        <v>3</v>
      </c>
      <c r="E152" s="7" t="s">
        <v>56</v>
      </c>
      <c r="F152" s="8" t="s">
        <v>91</v>
      </c>
      <c r="G152" s="8" t="s">
        <v>90</v>
      </c>
      <c r="H152" s="8" t="s">
        <v>89</v>
      </c>
      <c r="I152" s="7">
        <v>44</v>
      </c>
      <c r="J152" s="7">
        <v>1.8</v>
      </c>
      <c r="K152" s="7">
        <v>8.0000000000000002E-3</v>
      </c>
      <c r="L152" s="7" t="s">
        <v>88</v>
      </c>
      <c r="M152" s="7">
        <v>0.09</v>
      </c>
      <c r="N152" s="7">
        <v>470</v>
      </c>
      <c r="O152" s="7">
        <v>3.7999999999999999E-2</v>
      </c>
      <c r="P152" s="7">
        <v>3</v>
      </c>
      <c r="Q152" s="7">
        <v>0</v>
      </c>
      <c r="R152" s="7">
        <v>1</v>
      </c>
      <c r="S152" s="4" t="s">
        <v>10</v>
      </c>
      <c r="T152" s="4" t="e">
        <f>+MID(H152,FIND("(",H152),LEN(H152)-FIND("(",H152)+1)</f>
        <v>#VALUE!</v>
      </c>
      <c r="U152" s="4" t="s">
        <v>9</v>
      </c>
      <c r="V152" s="6">
        <f>40000*1/P152</f>
        <v>13333.333333333334</v>
      </c>
      <c r="W152" s="6">
        <f>5000/P152</f>
        <v>1666.6666666666667</v>
      </c>
    </row>
    <row r="153" spans="4:23" ht="53.4" thickBot="1" x14ac:dyDescent="0.35">
      <c r="D153" s="7">
        <v>3</v>
      </c>
      <c r="E153" s="7" t="s">
        <v>56</v>
      </c>
      <c r="F153" s="8" t="s">
        <v>87</v>
      </c>
      <c r="G153" s="8" t="s">
        <v>86</v>
      </c>
      <c r="H153" s="8" t="s">
        <v>85</v>
      </c>
      <c r="I153" s="7">
        <v>58.1</v>
      </c>
      <c r="J153" s="7">
        <v>2.38</v>
      </c>
      <c r="K153" s="7">
        <v>8.8999999999999999E-3</v>
      </c>
      <c r="L153" s="7">
        <v>0</v>
      </c>
      <c r="M153" s="7">
        <v>2.3999999999999998E-3</v>
      </c>
      <c r="N153" s="7">
        <v>365</v>
      </c>
      <c r="O153" s="7">
        <v>3.7999999999999999E-2</v>
      </c>
      <c r="P153" s="7">
        <v>4</v>
      </c>
      <c r="Q153" s="7">
        <v>0</v>
      </c>
      <c r="R153" s="7">
        <v>1</v>
      </c>
      <c r="S153" s="4" t="s">
        <v>10</v>
      </c>
      <c r="T153" s="4" t="e">
        <f>+MID(H153,FIND("(",H153),LEN(H153)-FIND("(",H153)+1)</f>
        <v>#VALUE!</v>
      </c>
      <c r="U153" s="4" t="s">
        <v>9</v>
      </c>
      <c r="V153" s="6">
        <f>40000*1/P153</f>
        <v>10000</v>
      </c>
      <c r="W153" s="6">
        <f>5000/P153</f>
        <v>1250</v>
      </c>
    </row>
    <row r="154" spans="4:23" ht="53.4" thickBot="1" x14ac:dyDescent="0.35">
      <c r="D154" s="7">
        <v>3</v>
      </c>
      <c r="E154" s="7" t="s">
        <v>56</v>
      </c>
      <c r="F154" s="8" t="s">
        <v>84</v>
      </c>
      <c r="G154" s="8" t="s">
        <v>83</v>
      </c>
      <c r="H154" s="8" t="s">
        <v>82</v>
      </c>
      <c r="I154" s="7">
        <v>58.1</v>
      </c>
      <c r="J154" s="7">
        <v>2.38</v>
      </c>
      <c r="K154" s="7">
        <v>1.0999999999999999E-2</v>
      </c>
      <c r="L154" s="7" t="s">
        <v>81</v>
      </c>
      <c r="M154" s="7">
        <v>5.8999999999999997E-2</v>
      </c>
      <c r="N154" s="7">
        <v>460</v>
      </c>
      <c r="O154" s="7">
        <v>4.2999999999999997E-2</v>
      </c>
      <c r="P154" s="7">
        <v>3</v>
      </c>
      <c r="Q154" s="7">
        <v>0</v>
      </c>
      <c r="R154" s="7">
        <v>1</v>
      </c>
      <c r="S154" s="4" t="s">
        <v>10</v>
      </c>
      <c r="T154" s="4" t="str">
        <f>+MID(H154,FIND("(",H154),LEN(H154)-FIND("(",H154)+1)</f>
        <v>(CH3)3</v>
      </c>
      <c r="U154" s="4" t="s">
        <v>9</v>
      </c>
      <c r="V154" s="6">
        <f>40000*1/P154</f>
        <v>13333.333333333334</v>
      </c>
      <c r="W154" s="6">
        <f>5000/P154</f>
        <v>1666.6666666666667</v>
      </c>
    </row>
    <row r="155" spans="4:23" ht="53.4" thickBot="1" x14ac:dyDescent="0.35">
      <c r="D155" s="7">
        <v>3</v>
      </c>
      <c r="E155" s="7" t="s">
        <v>56</v>
      </c>
      <c r="F155" s="8" t="s">
        <v>80</v>
      </c>
      <c r="G155" s="8" t="s">
        <v>79</v>
      </c>
      <c r="H155" s="8" t="s">
        <v>78</v>
      </c>
      <c r="I155" s="7">
        <v>72.099999999999994</v>
      </c>
      <c r="J155" s="7">
        <v>2.95</v>
      </c>
      <c r="K155" s="7">
        <v>8.0000000000000002E-3</v>
      </c>
      <c r="L155" s="7">
        <v>36</v>
      </c>
      <c r="M155" s="7">
        <v>2.8999999999999998E-3</v>
      </c>
      <c r="N155" s="7" t="s">
        <v>3</v>
      </c>
      <c r="O155" s="7">
        <v>3.5000000000000003E-2</v>
      </c>
      <c r="P155" s="7">
        <v>5</v>
      </c>
      <c r="Q155" s="7">
        <v>0</v>
      </c>
      <c r="R155" s="7">
        <v>1</v>
      </c>
      <c r="S155" s="4" t="s">
        <v>10</v>
      </c>
      <c r="T155" s="4" t="e">
        <f>+MID(H155,FIND("(",H155),LEN(H155)-FIND("(",H155)+1)</f>
        <v>#VALUE!</v>
      </c>
      <c r="U155" s="4" t="s">
        <v>9</v>
      </c>
      <c r="V155" s="6">
        <f>40000*1/P155</f>
        <v>8000</v>
      </c>
      <c r="W155" s="6">
        <f>5000/P155</f>
        <v>1000</v>
      </c>
    </row>
    <row r="156" spans="4:23" ht="53.4" thickBot="1" x14ac:dyDescent="0.35">
      <c r="D156" s="7">
        <v>3</v>
      </c>
      <c r="E156" s="7" t="s">
        <v>56</v>
      </c>
      <c r="F156" s="8" t="s">
        <v>77</v>
      </c>
      <c r="G156" s="8" t="s">
        <v>76</v>
      </c>
      <c r="H156" s="8" t="s">
        <v>75</v>
      </c>
      <c r="I156" s="7">
        <v>72.099999999999994</v>
      </c>
      <c r="J156" s="7">
        <v>2.95</v>
      </c>
      <c r="K156" s="7">
        <v>8.0000000000000002E-3</v>
      </c>
      <c r="L156" s="7">
        <v>27</v>
      </c>
      <c r="M156" s="7">
        <v>2.8999999999999998E-3</v>
      </c>
      <c r="N156" s="7" t="s">
        <v>3</v>
      </c>
      <c r="O156" s="7">
        <v>3.7999999999999999E-2</v>
      </c>
      <c r="P156" s="7">
        <v>5</v>
      </c>
      <c r="Q156" s="7">
        <v>0</v>
      </c>
      <c r="R156" s="7">
        <v>1</v>
      </c>
      <c r="S156" s="4" t="s">
        <v>10</v>
      </c>
      <c r="T156" s="4" t="str">
        <f>+MID(H156,FIND("(",H156),LEN(H156)-FIND("(",H156)+1)</f>
        <v>(CH3)2CHCH2CH3</v>
      </c>
      <c r="U156" s="4" t="s">
        <v>9</v>
      </c>
      <c r="V156" s="6">
        <f>40000*1/P156</f>
        <v>8000</v>
      </c>
      <c r="W156" s="6">
        <f>5000/P156</f>
        <v>1000</v>
      </c>
    </row>
    <row r="157" spans="4:23" ht="53.4" thickBot="1" x14ac:dyDescent="0.35">
      <c r="D157" s="7">
        <v>3</v>
      </c>
      <c r="E157" s="7" t="s">
        <v>56</v>
      </c>
      <c r="F157" s="8" t="s">
        <v>74</v>
      </c>
      <c r="G157" s="8" t="s">
        <v>73</v>
      </c>
      <c r="H157" s="8" t="s">
        <v>72</v>
      </c>
      <c r="I157" s="7">
        <v>28.1</v>
      </c>
      <c r="J157" s="7" t="s">
        <v>71</v>
      </c>
      <c r="K157" s="7">
        <v>6.0000000000000001E-3</v>
      </c>
      <c r="L157" s="7" t="s">
        <v>70</v>
      </c>
      <c r="M157" s="7" t="s">
        <v>3</v>
      </c>
      <c r="N157" s="7">
        <v>425</v>
      </c>
      <c r="O157" s="7">
        <v>3.5999999999999997E-2</v>
      </c>
      <c r="P157" s="7">
        <v>4</v>
      </c>
      <c r="Q157" s="7">
        <v>0</v>
      </c>
      <c r="R157" s="7">
        <v>1</v>
      </c>
      <c r="S157" s="4" t="s">
        <v>10</v>
      </c>
      <c r="T157" s="4" t="e">
        <f>+MID(H157,FIND("(",H157),LEN(H157)-FIND("(",H157)+1)</f>
        <v>#VALUE!</v>
      </c>
      <c r="U157" s="4" t="s">
        <v>9</v>
      </c>
      <c r="V157" s="6">
        <f>40000*1/P157</f>
        <v>10000</v>
      </c>
      <c r="W157" s="6">
        <f>5000/P157</f>
        <v>1250</v>
      </c>
    </row>
    <row r="158" spans="4:23" ht="53.4" thickBot="1" x14ac:dyDescent="0.35">
      <c r="D158" s="7">
        <v>3</v>
      </c>
      <c r="E158" s="7" t="s">
        <v>56</v>
      </c>
      <c r="F158" s="8" t="s">
        <v>69</v>
      </c>
      <c r="G158" s="8" t="s">
        <v>68</v>
      </c>
      <c r="H158" s="8" t="s">
        <v>67</v>
      </c>
      <c r="I158" s="7">
        <v>42.1</v>
      </c>
      <c r="J158" s="7">
        <v>1.72</v>
      </c>
      <c r="K158" s="7">
        <v>8.0000000000000002E-3</v>
      </c>
      <c r="L158" s="7" t="s">
        <v>66</v>
      </c>
      <c r="M158" s="7">
        <v>1.6999999999999999E-3</v>
      </c>
      <c r="N158" s="7">
        <v>455</v>
      </c>
      <c r="O158" s="7">
        <v>4.5999999999999999E-2</v>
      </c>
      <c r="P158" s="7">
        <v>2</v>
      </c>
      <c r="Q158" s="7">
        <v>0</v>
      </c>
      <c r="R158" s="7">
        <v>1</v>
      </c>
      <c r="S158" s="4" t="s">
        <v>10</v>
      </c>
      <c r="T158" s="4" t="e">
        <f>+MID(H158,FIND("(",H158),LEN(H158)-FIND("(",H158)+1)</f>
        <v>#VALUE!</v>
      </c>
      <c r="U158" s="4" t="s">
        <v>9</v>
      </c>
      <c r="V158" s="6">
        <f>40000*1/P158</f>
        <v>20000</v>
      </c>
      <c r="W158" s="6">
        <f>5000/P158</f>
        <v>2500</v>
      </c>
    </row>
    <row r="159" spans="4:23" ht="53.4" thickBot="1" x14ac:dyDescent="0.35">
      <c r="D159" s="7">
        <v>3</v>
      </c>
      <c r="E159" s="7" t="s">
        <v>56</v>
      </c>
      <c r="F159" s="8" t="s">
        <v>65</v>
      </c>
      <c r="G159" s="8" t="s">
        <v>64</v>
      </c>
      <c r="H159" s="8" t="s">
        <v>63</v>
      </c>
      <c r="I159" s="7">
        <v>46</v>
      </c>
      <c r="J159" s="7">
        <v>1.88</v>
      </c>
      <c r="K159" s="7">
        <v>1.2999999999999999E-2</v>
      </c>
      <c r="L159" s="7" t="s">
        <v>62</v>
      </c>
      <c r="M159" s="7">
        <v>7.9000000000000001E-2</v>
      </c>
      <c r="N159" s="7">
        <v>235</v>
      </c>
      <c r="O159" s="7">
        <v>6.4000000000000001E-2</v>
      </c>
      <c r="P159" s="7">
        <v>1</v>
      </c>
      <c r="Q159" s="7">
        <v>0</v>
      </c>
      <c r="R159" s="7">
        <v>1</v>
      </c>
      <c r="S159" s="4" t="s">
        <v>10</v>
      </c>
      <c r="T159" s="4" t="e">
        <f>+MID(H159,FIND("(",H159),LEN(H159)-FIND("(",H159)+1)</f>
        <v>#VALUE!</v>
      </c>
      <c r="U159" s="4" t="s">
        <v>9</v>
      </c>
      <c r="V159" s="6">
        <f>40000*1/P159</f>
        <v>40000</v>
      </c>
      <c r="W159" s="6">
        <f>5000/P159</f>
        <v>5000</v>
      </c>
    </row>
    <row r="160" spans="4:23" ht="53.4" thickBot="1" x14ac:dyDescent="0.35">
      <c r="D160" s="7">
        <v>3</v>
      </c>
      <c r="E160" s="7" t="s">
        <v>56</v>
      </c>
      <c r="F160" s="8" t="s">
        <v>61</v>
      </c>
      <c r="G160" s="8" t="s">
        <v>60</v>
      </c>
      <c r="H160" s="8" t="s">
        <v>59</v>
      </c>
      <c r="I160" s="7">
        <v>47.25</v>
      </c>
      <c r="J160" s="7">
        <v>1.93</v>
      </c>
      <c r="K160" s="7">
        <v>1.0999999999999999E-2</v>
      </c>
      <c r="L160" s="7" t="s">
        <v>58</v>
      </c>
      <c r="M160" s="7" t="s">
        <v>57</v>
      </c>
      <c r="N160" s="7" t="s">
        <v>3</v>
      </c>
      <c r="O160" s="7">
        <v>5.6000000000000001E-2</v>
      </c>
      <c r="P160" s="7">
        <v>1.2</v>
      </c>
      <c r="Q160" s="7">
        <v>0</v>
      </c>
      <c r="R160" s="7">
        <v>1</v>
      </c>
      <c r="S160" s="4" t="s">
        <v>10</v>
      </c>
      <c r="T160" s="4" t="str">
        <f>+MID(H160,FIND("(",H160),LEN(H160)-FIND("(",H160)+1)</f>
        <v>(CH3)3</v>
      </c>
      <c r="U160" s="4" t="s">
        <v>9</v>
      </c>
      <c r="V160" s="6">
        <f>40000*1/P160</f>
        <v>33333.333333333336</v>
      </c>
      <c r="W160" s="6">
        <f>5000/P160</f>
        <v>4166.666666666667</v>
      </c>
    </row>
    <row r="161" spans="4:40" ht="53.4" thickBot="1" x14ac:dyDescent="0.35">
      <c r="D161" s="7">
        <v>3</v>
      </c>
      <c r="E161" s="7" t="s">
        <v>56</v>
      </c>
      <c r="F161" s="8" t="s">
        <v>55</v>
      </c>
      <c r="G161" s="8" t="s">
        <v>54</v>
      </c>
      <c r="H161" s="8" t="s">
        <v>53</v>
      </c>
      <c r="I161" s="7">
        <v>44.2</v>
      </c>
      <c r="J161" s="7">
        <v>1.81</v>
      </c>
      <c r="K161" s="7">
        <v>8.0000000000000002E-3</v>
      </c>
      <c r="L161" s="7">
        <v>-42</v>
      </c>
      <c r="M161" s="7">
        <v>9.1999999999999998E-2</v>
      </c>
      <c r="N161" s="7" t="s">
        <v>3</v>
      </c>
      <c r="O161" s="7">
        <v>3.7999999999999999E-2</v>
      </c>
      <c r="P161" s="7">
        <v>2.9</v>
      </c>
      <c r="Q161" s="7">
        <v>0</v>
      </c>
      <c r="R161" s="7">
        <v>1</v>
      </c>
      <c r="S161" s="4" t="s">
        <v>10</v>
      </c>
      <c r="T161" s="4" t="e">
        <f>+MID(H161,FIND("(",H161),LEN(H161)-FIND("(",H161)+1)</f>
        <v>#VALUE!</v>
      </c>
      <c r="U161" s="4" t="s">
        <v>9</v>
      </c>
      <c r="V161" s="6">
        <f>40000*1/P161</f>
        <v>13793.103448275862</v>
      </c>
      <c r="W161" s="6">
        <f>5000/P161</f>
        <v>1724.1379310344828</v>
      </c>
    </row>
    <row r="162" spans="4:40" ht="27" thickBot="1" x14ac:dyDescent="0.35">
      <c r="D162" s="7">
        <v>3</v>
      </c>
      <c r="E162" s="7" t="s">
        <v>8</v>
      </c>
      <c r="F162" s="8" t="s">
        <v>52</v>
      </c>
      <c r="G162" s="8" t="s">
        <v>51</v>
      </c>
      <c r="H162" s="8" t="s">
        <v>50</v>
      </c>
      <c r="I162" s="7">
        <v>50.8</v>
      </c>
      <c r="J162" s="7">
        <v>2.08</v>
      </c>
      <c r="K162" s="7">
        <v>9.8000000000000004E-2</v>
      </c>
      <c r="L162" s="7" t="s">
        <v>49</v>
      </c>
      <c r="M162" s="7">
        <v>9.8000000000000004E-2</v>
      </c>
      <c r="N162" s="7" t="s">
        <v>3</v>
      </c>
      <c r="O162" s="7">
        <v>5.1999999999999998E-2</v>
      </c>
      <c r="P162" s="7">
        <v>13.9</v>
      </c>
      <c r="Q162" s="7">
        <v>0</v>
      </c>
      <c r="R162" s="7">
        <v>1</v>
      </c>
      <c r="S162" s="4" t="s">
        <v>2</v>
      </c>
      <c r="T162" s="4" t="str">
        <f>+MID(H162,FIND("(",H162),LEN(H162)-FIND("(",H162)+1)</f>
        <v>(CH3)3 (11)</v>
      </c>
      <c r="U162" s="4" t="s">
        <v>1</v>
      </c>
      <c r="V162" s="6">
        <f>40000*1/P162</f>
        <v>2877.6978417266187</v>
      </c>
      <c r="W162" s="6">
        <f>5000/P162</f>
        <v>359.71223021582733</v>
      </c>
    </row>
    <row r="163" spans="4:40" ht="27" thickBot="1" x14ac:dyDescent="0.35">
      <c r="D163" s="7">
        <v>3</v>
      </c>
      <c r="E163" s="7" t="s">
        <v>8</v>
      </c>
      <c r="F163" s="8" t="s">
        <v>48</v>
      </c>
      <c r="G163" s="8" t="s">
        <v>47</v>
      </c>
      <c r="H163" s="8" t="s">
        <v>46</v>
      </c>
      <c r="I163" s="7">
        <v>64</v>
      </c>
      <c r="J163" s="7">
        <v>2.61</v>
      </c>
      <c r="K163" s="7">
        <v>0.1</v>
      </c>
      <c r="L163" s="7" t="s">
        <v>45</v>
      </c>
      <c r="M163" s="7">
        <v>0.1</v>
      </c>
      <c r="N163" s="7" t="s">
        <v>3</v>
      </c>
      <c r="O163" s="7">
        <v>8.4000000000000005E-2</v>
      </c>
      <c r="P163" s="7">
        <v>95</v>
      </c>
      <c r="Q163" s="7">
        <v>0</v>
      </c>
      <c r="R163" s="7">
        <v>1</v>
      </c>
      <c r="S163" s="4" t="s">
        <v>2</v>
      </c>
      <c r="T163" s="4" t="str">
        <f>+MID(H163,FIND("(",H163),LEN(H163)-FIND("(",H163)+1)</f>
        <v>(CH3)3 (11)</v>
      </c>
      <c r="U163" s="4" t="s">
        <v>1</v>
      </c>
      <c r="V163" s="6">
        <f>40000*1/P163</f>
        <v>421.05263157894734</v>
      </c>
      <c r="W163" s="6">
        <f>5000/P163</f>
        <v>52.631578947368418</v>
      </c>
    </row>
    <row r="164" spans="4:40" ht="27" thickBot="1" x14ac:dyDescent="0.35">
      <c r="D164" s="7">
        <v>3</v>
      </c>
      <c r="E164" s="7" t="s">
        <v>8</v>
      </c>
      <c r="F164" s="8" t="s">
        <v>44</v>
      </c>
      <c r="G164" s="8" t="s">
        <v>43</v>
      </c>
      <c r="H164" s="8" t="s">
        <v>42</v>
      </c>
      <c r="I164" s="7">
        <v>48.8</v>
      </c>
      <c r="J164" s="7">
        <v>2</v>
      </c>
      <c r="K164" s="7">
        <v>8.9999999999999993E-3</v>
      </c>
      <c r="L164" s="7" t="s">
        <v>41</v>
      </c>
      <c r="M164" s="7">
        <v>0.1</v>
      </c>
      <c r="N164" s="7" t="s">
        <v>3</v>
      </c>
      <c r="O164" s="7">
        <v>4.3999999999999997E-2</v>
      </c>
      <c r="P164" s="7">
        <v>38.1</v>
      </c>
      <c r="Q164" s="7">
        <v>0</v>
      </c>
      <c r="R164" s="7">
        <v>1</v>
      </c>
      <c r="S164" s="4" t="s">
        <v>2</v>
      </c>
      <c r="T164" s="4" t="str">
        <f>+MID(H164,FIND("(",H164),LEN(H164)-FIND("(",H164)+1)</f>
        <v>(11)</v>
      </c>
      <c r="U164" s="4" t="s">
        <v>1</v>
      </c>
      <c r="V164" s="6">
        <f>40000*1/P164</f>
        <v>1049.8687664041995</v>
      </c>
      <c r="W164" s="6">
        <f>5000/P164</f>
        <v>131.23359580052494</v>
      </c>
    </row>
    <row r="165" spans="4:40" ht="53.4" thickBot="1" x14ac:dyDescent="0.35">
      <c r="D165" s="7">
        <v>3</v>
      </c>
      <c r="E165" s="7" t="s">
        <v>8</v>
      </c>
      <c r="F165" s="8" t="s">
        <v>40</v>
      </c>
      <c r="G165" s="8" t="s">
        <v>39</v>
      </c>
      <c r="H165" s="8" t="s">
        <v>38</v>
      </c>
      <c r="I165" s="7">
        <v>42.8</v>
      </c>
      <c r="J165" s="7">
        <v>1.75</v>
      </c>
      <c r="K165" s="7">
        <v>8.0000000000000002E-3</v>
      </c>
      <c r="L165" s="7" t="s">
        <v>37</v>
      </c>
      <c r="M165" s="7">
        <v>2.0999999999999999E-3</v>
      </c>
      <c r="N165" s="7" t="s">
        <v>3</v>
      </c>
      <c r="O165" s="7">
        <v>3.9E-2</v>
      </c>
      <c r="P165" s="7">
        <v>1.8</v>
      </c>
      <c r="Q165" s="7">
        <v>0</v>
      </c>
      <c r="R165" s="7">
        <v>1</v>
      </c>
      <c r="S165" s="4" t="s">
        <v>10</v>
      </c>
      <c r="T165" s="4" t="e">
        <f>+MID(H165,FIND("(",H165),LEN(H165)-FIND("(",H165)+1)</f>
        <v>#VALUE!</v>
      </c>
      <c r="U165" s="4" t="s">
        <v>9</v>
      </c>
      <c r="V165" s="6">
        <f>40000*1/P165</f>
        <v>22222.222222222223</v>
      </c>
      <c r="W165" s="6">
        <f>5000/P165</f>
        <v>2777.7777777777778</v>
      </c>
    </row>
    <row r="166" spans="4:40" ht="53.4" thickBot="1" x14ac:dyDescent="0.35">
      <c r="D166" s="7">
        <v>3</v>
      </c>
      <c r="E166" s="7" t="s">
        <v>8</v>
      </c>
      <c r="F166" s="8" t="s">
        <v>36</v>
      </c>
      <c r="G166" s="8" t="s">
        <v>35</v>
      </c>
      <c r="H166" s="8" t="s">
        <v>31</v>
      </c>
      <c r="I166" s="7">
        <v>43.5</v>
      </c>
      <c r="J166" s="7">
        <v>1.78</v>
      </c>
      <c r="K166" s="7">
        <v>7.0000000000000001E-3</v>
      </c>
      <c r="L166" s="7" t="s">
        <v>34</v>
      </c>
      <c r="M166" s="7">
        <v>5.4999999999999997E-3</v>
      </c>
      <c r="N166" s="7" t="s">
        <v>3</v>
      </c>
      <c r="O166" s="7">
        <v>3.5999999999999997E-2</v>
      </c>
      <c r="P166" s="7">
        <v>2.7</v>
      </c>
      <c r="Q166" s="7">
        <v>0</v>
      </c>
      <c r="R166" s="7">
        <v>1</v>
      </c>
      <c r="S166" s="4" t="s">
        <v>10</v>
      </c>
      <c r="T166" s="4" t="e">
        <f>+MID(H166,FIND("(",H166),LEN(H166)-FIND("(",H166)+1)</f>
        <v>#VALUE!</v>
      </c>
      <c r="U166" s="4" t="s">
        <v>9</v>
      </c>
      <c r="V166" s="6">
        <f>40000*1/P166</f>
        <v>14814.814814814814</v>
      </c>
      <c r="W166" s="6">
        <f>5000/P166</f>
        <v>1851.8518518518517</v>
      </c>
    </row>
    <row r="167" spans="4:40" ht="53.4" thickBot="1" x14ac:dyDescent="0.35">
      <c r="D167" s="7">
        <v>3</v>
      </c>
      <c r="E167" s="7" t="s">
        <v>8</v>
      </c>
      <c r="F167" s="8" t="s">
        <v>33</v>
      </c>
      <c r="G167" s="8" t="s">
        <v>32</v>
      </c>
      <c r="H167" s="8" t="s">
        <v>31</v>
      </c>
      <c r="I167" s="7">
        <v>43.6</v>
      </c>
      <c r="J167" s="7">
        <v>1.78</v>
      </c>
      <c r="K167" s="7">
        <v>6.0000000000000001E-3</v>
      </c>
      <c r="L167" s="7" t="s">
        <v>30</v>
      </c>
      <c r="M167" s="7">
        <v>6.6E-3</v>
      </c>
      <c r="N167" s="7" t="s">
        <v>3</v>
      </c>
      <c r="O167" s="7">
        <v>3.2000000000000001E-2</v>
      </c>
      <c r="P167" s="7">
        <v>2.8</v>
      </c>
      <c r="Q167" s="7">
        <v>0</v>
      </c>
      <c r="R167" s="7">
        <v>1</v>
      </c>
      <c r="S167" s="4" t="s">
        <v>10</v>
      </c>
      <c r="T167" s="4" t="e">
        <f>+MID(H167,FIND("(",H167),LEN(H167)-FIND("(",H167)+1)</f>
        <v>#VALUE!</v>
      </c>
      <c r="U167" s="4" t="s">
        <v>9</v>
      </c>
      <c r="V167" s="6">
        <f>40000*1/P167</f>
        <v>14285.714285714286</v>
      </c>
      <c r="W167" s="6">
        <f>5000/P167</f>
        <v>1785.7142857142858</v>
      </c>
    </row>
    <row r="168" spans="4:40" ht="27" thickBot="1" x14ac:dyDescent="0.35">
      <c r="D168" s="7">
        <v>3</v>
      </c>
      <c r="E168" s="7" t="s">
        <v>8</v>
      </c>
      <c r="F168" s="8" t="s">
        <v>29</v>
      </c>
      <c r="G168" s="8" t="s">
        <v>28</v>
      </c>
      <c r="H168" s="8" t="s">
        <v>27</v>
      </c>
      <c r="I168" s="7">
        <v>49</v>
      </c>
      <c r="J168" s="7">
        <v>2</v>
      </c>
      <c r="K168" s="7">
        <v>1.4E-2</v>
      </c>
      <c r="L168" s="7" t="s">
        <v>26</v>
      </c>
      <c r="M168" s="7">
        <v>0.09</v>
      </c>
      <c r="N168" s="7" t="s">
        <v>3</v>
      </c>
      <c r="O168" s="7">
        <v>6.9000000000000006E-2</v>
      </c>
      <c r="P168" s="7">
        <v>25.6</v>
      </c>
      <c r="Q168" s="7">
        <v>0</v>
      </c>
      <c r="R168" s="7">
        <v>1</v>
      </c>
      <c r="S168" s="4" t="s">
        <v>2</v>
      </c>
      <c r="T168" s="4" t="str">
        <f>+MID(H168,FIND("(",H168),LEN(H168)-FIND("(",H168)+1)</f>
        <v>(11)</v>
      </c>
      <c r="U168" s="4" t="s">
        <v>1</v>
      </c>
      <c r="V168" s="6">
        <f>40000*1/P168</f>
        <v>1562.5</v>
      </c>
      <c r="W168" s="6">
        <f>5000/P168</f>
        <v>195.3125</v>
      </c>
    </row>
    <row r="169" spans="4:40" ht="53.4" thickBot="1" x14ac:dyDescent="0.35">
      <c r="D169" s="7">
        <v>3</v>
      </c>
      <c r="E169" s="7" t="s">
        <v>8</v>
      </c>
      <c r="F169" s="8" t="s">
        <v>25</v>
      </c>
      <c r="G169" s="8" t="s">
        <v>24</v>
      </c>
      <c r="H169" s="8" t="s">
        <v>20</v>
      </c>
      <c r="I169" s="7">
        <v>49.3</v>
      </c>
      <c r="J169" s="7">
        <v>2.02</v>
      </c>
      <c r="K169" s="7">
        <v>6.0000000000000001E-3</v>
      </c>
      <c r="L169" s="7" t="s">
        <v>23</v>
      </c>
      <c r="M169" s="7">
        <v>7.2999999999999995E-2</v>
      </c>
      <c r="N169" s="7" t="s">
        <v>3</v>
      </c>
      <c r="O169" s="7">
        <v>3.2000000000000001E-2</v>
      </c>
      <c r="P169" s="7">
        <v>3</v>
      </c>
      <c r="Q169" s="7">
        <v>0</v>
      </c>
      <c r="R169" s="7">
        <v>1</v>
      </c>
      <c r="S169" s="4" t="s">
        <v>10</v>
      </c>
      <c r="T169" s="4" t="str">
        <f>+MID(H169,FIND("(",H169),LEN(H169)-FIND("(",H169)+1)</f>
        <v>(CH3)3</v>
      </c>
      <c r="U169" s="4" t="s">
        <v>9</v>
      </c>
      <c r="V169" s="6">
        <f>40000*1/P169</f>
        <v>13333.333333333334</v>
      </c>
      <c r="W169" s="6">
        <f>5000/P169</f>
        <v>1666.6666666666667</v>
      </c>
    </row>
    <row r="170" spans="4:40" ht="53.4" thickBot="1" x14ac:dyDescent="0.35">
      <c r="D170" s="7">
        <v>3</v>
      </c>
      <c r="E170" s="7" t="s">
        <v>8</v>
      </c>
      <c r="F170" s="8" t="s">
        <v>22</v>
      </c>
      <c r="G170" s="8" t="s">
        <v>21</v>
      </c>
      <c r="H170" s="8" t="s">
        <v>20</v>
      </c>
      <c r="I170" s="7">
        <v>49.9</v>
      </c>
      <c r="J170" s="7">
        <v>2</v>
      </c>
      <c r="K170" s="7">
        <v>7.0000000000000001E-3</v>
      </c>
      <c r="L170" s="7" t="s">
        <v>19</v>
      </c>
      <c r="M170" s="7">
        <v>7.0999999999999994E-2</v>
      </c>
      <c r="N170" s="7" t="s">
        <v>3</v>
      </c>
      <c r="O170" s="7">
        <v>3.3000000000000002E-2</v>
      </c>
      <c r="P170" s="7">
        <v>3</v>
      </c>
      <c r="Q170" s="7">
        <v>0</v>
      </c>
      <c r="R170" s="7">
        <v>1</v>
      </c>
      <c r="S170" s="4" t="s">
        <v>10</v>
      </c>
      <c r="T170" s="4" t="str">
        <f>+MID(H170,FIND("(",H170),LEN(H170)-FIND("(",H170)+1)</f>
        <v>(CH3)3</v>
      </c>
      <c r="U170" s="4" t="s">
        <v>9</v>
      </c>
      <c r="V170" s="6">
        <f>40000*1/P170</f>
        <v>13333.333333333334</v>
      </c>
      <c r="W170" s="6">
        <f>5000/P170</f>
        <v>1666.6666666666667</v>
      </c>
    </row>
    <row r="171" spans="4:40" ht="53.4" thickBot="1" x14ac:dyDescent="0.35">
      <c r="D171" s="7">
        <v>3</v>
      </c>
      <c r="E171" s="7" t="s">
        <v>8</v>
      </c>
      <c r="F171" s="8" t="s">
        <v>18</v>
      </c>
      <c r="G171" s="8" t="s">
        <v>17</v>
      </c>
      <c r="H171" s="8" t="s">
        <v>16</v>
      </c>
      <c r="I171" s="7">
        <v>48.3</v>
      </c>
      <c r="J171" s="7">
        <v>1.98</v>
      </c>
      <c r="K171" s="7">
        <v>6.3E-3</v>
      </c>
      <c r="L171" s="7" t="s">
        <v>15</v>
      </c>
      <c r="M171" s="7">
        <v>6.3E-3</v>
      </c>
      <c r="N171" s="7" t="s">
        <v>3</v>
      </c>
      <c r="O171" s="7">
        <v>3.2000000000000001E-2</v>
      </c>
      <c r="P171" s="7">
        <v>3.5</v>
      </c>
      <c r="Q171" s="7">
        <v>0</v>
      </c>
      <c r="R171" s="7">
        <v>1</v>
      </c>
      <c r="S171" s="4" t="s">
        <v>10</v>
      </c>
      <c r="T171" s="4" t="str">
        <f>+MID(H171,FIND("(",H171),LEN(H171)-FIND("(",H171)+1)</f>
        <v>(CH3)3+C4H10</v>
      </c>
      <c r="U171" s="4" t="s">
        <v>9</v>
      </c>
      <c r="V171" s="6">
        <f>40000*1/P171</f>
        <v>11428.571428571429</v>
      </c>
      <c r="W171" s="6">
        <f>5000/P171</f>
        <v>1428.5714285714287</v>
      </c>
    </row>
    <row r="172" spans="4:40" ht="53.4" thickBot="1" x14ac:dyDescent="0.35">
      <c r="D172" s="7">
        <v>3</v>
      </c>
      <c r="E172" s="7" t="s">
        <v>8</v>
      </c>
      <c r="F172" s="8" t="s">
        <v>14</v>
      </c>
      <c r="G172" s="8" t="s">
        <v>13</v>
      </c>
      <c r="H172" s="8" t="s">
        <v>12</v>
      </c>
      <c r="I172" s="7">
        <v>43.47</v>
      </c>
      <c r="J172" s="7">
        <v>1.8</v>
      </c>
      <c r="K172" s="7">
        <v>3.0000000000000001E-3</v>
      </c>
      <c r="L172" s="7" t="s">
        <v>11</v>
      </c>
      <c r="M172" s="7">
        <v>3.0000000000000001E-3</v>
      </c>
      <c r="N172" s="7" t="s">
        <v>3</v>
      </c>
      <c r="O172" s="7">
        <v>3.5999999999999997E-2</v>
      </c>
      <c r="P172" s="7">
        <v>2.5</v>
      </c>
      <c r="Q172" s="7">
        <v>0</v>
      </c>
      <c r="R172" s="7">
        <v>1</v>
      </c>
      <c r="S172" s="4" t="s">
        <v>10</v>
      </c>
      <c r="T172" s="4" t="str">
        <f>+MID(H172,FIND("(",H172),LEN(H172)-FIND("(",H172)+1)</f>
        <v>(CH3)3</v>
      </c>
      <c r="U172" s="4" t="s">
        <v>9</v>
      </c>
      <c r="V172" s="6">
        <f>40000*1/P172</f>
        <v>16000</v>
      </c>
      <c r="W172" s="6">
        <f>5000/P172</f>
        <v>2000</v>
      </c>
    </row>
    <row r="173" spans="4:40" ht="27" thickBot="1" x14ac:dyDescent="0.35">
      <c r="D173" s="7">
        <v>3</v>
      </c>
      <c r="E173" s="7" t="s">
        <v>8</v>
      </c>
      <c r="F173" s="8" t="s">
        <v>7</v>
      </c>
      <c r="G173" s="8" t="s">
        <v>6</v>
      </c>
      <c r="H173" s="8" t="s">
        <v>5</v>
      </c>
      <c r="I173" s="7">
        <v>44</v>
      </c>
      <c r="J173" s="7">
        <v>1.82</v>
      </c>
      <c r="K173" s="7">
        <v>1.0800000000000001E-2</v>
      </c>
      <c r="L173" s="7" t="s">
        <v>4</v>
      </c>
      <c r="M173" s="7" t="s">
        <v>3</v>
      </c>
      <c r="N173" s="7" t="s">
        <v>3</v>
      </c>
      <c r="O173" s="7">
        <v>5.3999999999999999E-2</v>
      </c>
      <c r="P173" s="7">
        <v>143.9</v>
      </c>
      <c r="Q173" s="7">
        <v>0</v>
      </c>
      <c r="R173" s="7">
        <v>1</v>
      </c>
      <c r="S173" s="4" t="s">
        <v>2</v>
      </c>
      <c r="T173" s="4" t="str">
        <f>+MID(H173,FIND("(",H173),LEN(H173)-FIND("(",H173)+1)</f>
        <v>(11)</v>
      </c>
      <c r="U173" s="4" t="s">
        <v>1</v>
      </c>
      <c r="V173" s="6">
        <f>40000*1/P173</f>
        <v>277.9708130646282</v>
      </c>
      <c r="W173" s="6">
        <f>5000/P173</f>
        <v>34.746351633078525</v>
      </c>
    </row>
    <row r="174" spans="4:40" x14ac:dyDescent="0.3">
      <c r="F174" s="5"/>
      <c r="T174" s="4"/>
      <c r="U174" s="4"/>
    </row>
    <row r="175" spans="4:40" x14ac:dyDescent="0.3"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4:40" x14ac:dyDescent="0.3"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5:40" x14ac:dyDescent="0.3"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5:40" x14ac:dyDescent="0.3"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5:40" x14ac:dyDescent="0.3"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5:40" x14ac:dyDescent="0.3"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25:40" x14ac:dyDescent="0.3"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25:40" x14ac:dyDescent="0.3"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spans="25:40" x14ac:dyDescent="0.3"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spans="25:40" x14ac:dyDescent="0.3"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spans="25:40" x14ac:dyDescent="0.3"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25:40" x14ac:dyDescent="0.3"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spans="25:40" x14ac:dyDescent="0.3"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spans="25:40" x14ac:dyDescent="0.3"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25:40" x14ac:dyDescent="0.3"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25:40" x14ac:dyDescent="0.3"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25:40" x14ac:dyDescent="0.3">
      <c r="Y191" s="2"/>
      <c r="Z191" s="2"/>
      <c r="AA191" s="2" t="s">
        <v>0</v>
      </c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spans="25:40" x14ac:dyDescent="0.3"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25:40" x14ac:dyDescent="0.3"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spans="25:40" x14ac:dyDescent="0.3"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25:40" x14ac:dyDescent="0.3">
      <c r="Y195" s="2"/>
      <c r="Z195" s="2"/>
      <c r="AA195" s="2"/>
      <c r="AB195" s="3"/>
      <c r="AC195" s="3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25:40" x14ac:dyDescent="0.3">
      <c r="Y196" s="2"/>
      <c r="Z196" s="2"/>
      <c r="AA196" s="2"/>
      <c r="AB196" s="3"/>
      <c r="AC196" s="3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25:40" x14ac:dyDescent="0.3">
      <c r="Y197" s="2"/>
      <c r="Z197" s="2"/>
      <c r="AA197" s="2"/>
      <c r="AB197" s="3"/>
      <c r="AC197" s="3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25:40" x14ac:dyDescent="0.3">
      <c r="Y198" s="2"/>
      <c r="Z198" s="2"/>
      <c r="AA198" s="2"/>
      <c r="AB198" s="3"/>
      <c r="AC198" s="3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25:40" x14ac:dyDescent="0.3">
      <c r="Y199" s="2"/>
      <c r="Z199" s="2"/>
      <c r="AA199" s="2"/>
      <c r="AB199" s="3"/>
      <c r="AC199" s="3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25:40" x14ac:dyDescent="0.3">
      <c r="Y200" s="2"/>
      <c r="Z200" s="2"/>
      <c r="AA200" s="2"/>
      <c r="AB200" s="3"/>
      <c r="AC200" s="3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25:40" x14ac:dyDescent="0.3">
      <c r="Y201" s="2"/>
      <c r="Z201" s="2"/>
      <c r="AA201" s="2"/>
      <c r="AB201" s="3"/>
      <c r="AC201" s="3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25:40" x14ac:dyDescent="0.3">
      <c r="Y202" s="2"/>
      <c r="Z202" s="2"/>
      <c r="AA202" s="2"/>
      <c r="AB202" s="3"/>
      <c r="AC202" s="3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25:40" x14ac:dyDescent="0.3">
      <c r="Y203" s="2"/>
      <c r="Z203" s="2"/>
      <c r="AA203" s="2"/>
      <c r="AB203" s="3"/>
      <c r="AC203" s="3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</row>
    <row r="204" spans="25:40" x14ac:dyDescent="0.3">
      <c r="Y204" s="2"/>
      <c r="Z204" s="2"/>
      <c r="AA204" s="2"/>
      <c r="AB204" s="3"/>
      <c r="AC204" s="3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spans="25:40" x14ac:dyDescent="0.3">
      <c r="Y205" s="2"/>
      <c r="Z205" s="2"/>
      <c r="AA205" s="2"/>
      <c r="AB205" s="3"/>
      <c r="AC205" s="3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25:40" x14ac:dyDescent="0.3">
      <c r="Y206" s="2"/>
      <c r="Z206" s="2"/>
      <c r="AA206" s="2"/>
      <c r="AB206" s="3"/>
      <c r="AC206" s="3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</row>
    <row r="207" spans="25:40" x14ac:dyDescent="0.3">
      <c r="Y207" s="2"/>
      <c r="Z207" s="2"/>
      <c r="AA207" s="2"/>
      <c r="AB207" s="3"/>
      <c r="AC207" s="3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</row>
    <row r="208" spans="25:40" x14ac:dyDescent="0.3">
      <c r="Y208" s="2"/>
      <c r="Z208" s="2"/>
      <c r="AA208" s="2"/>
      <c r="AB208" s="3"/>
      <c r="AC208" s="3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</row>
    <row r="209" spans="25:40" x14ac:dyDescent="0.3">
      <c r="Y209" s="2"/>
      <c r="Z209" s="2"/>
      <c r="AA209" s="2"/>
      <c r="AB209" s="3"/>
      <c r="AC209" s="3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25:40" x14ac:dyDescent="0.3">
      <c r="Y210" s="2"/>
      <c r="Z210" s="2"/>
      <c r="AA210" s="2"/>
      <c r="AB210" s="3"/>
      <c r="AC210" s="3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</row>
    <row r="211" spans="25:40" x14ac:dyDescent="0.3">
      <c r="Y211" s="2"/>
      <c r="Z211" s="2"/>
      <c r="AA211" s="2"/>
      <c r="AB211" s="3"/>
      <c r="AC211" s="3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</row>
    <row r="212" spans="25:40" x14ac:dyDescent="0.3"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</row>
    <row r="213" spans="25:40" x14ac:dyDescent="0.3"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25:40" x14ac:dyDescent="0.3"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</row>
    <row r="215" spans="25:40" x14ac:dyDescent="0.3"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</row>
    <row r="216" spans="25:40" x14ac:dyDescent="0.3"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</row>
    <row r="217" spans="25:40" x14ac:dyDescent="0.3"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25:40" x14ac:dyDescent="0.3"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25:40" x14ac:dyDescent="0.3"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</row>
    <row r="220" spans="25:40" x14ac:dyDescent="0.3"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</row>
    <row r="221" spans="25:40" x14ac:dyDescent="0.3"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spans="25:40" x14ac:dyDescent="0.3"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spans="25:40" x14ac:dyDescent="0.3"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spans="25:40" x14ac:dyDescent="0.3"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25:40" x14ac:dyDescent="0.3"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</row>
    <row r="226" spans="25:40" x14ac:dyDescent="0.3"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spans="25:40" x14ac:dyDescent="0.3"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</row>
    <row r="228" spans="25:40" x14ac:dyDescent="0.3"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spans="25:40" x14ac:dyDescent="0.3"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</row>
    <row r="230" spans="25:40" x14ac:dyDescent="0.3"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</row>
    <row r="231" spans="25:40" x14ac:dyDescent="0.3"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</row>
    <row r="232" spans="25:40" x14ac:dyDescent="0.3"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</row>
    <row r="233" spans="25:40" x14ac:dyDescent="0.3"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</row>
    <row r="234" spans="25:40" x14ac:dyDescent="0.3"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</row>
    <row r="235" spans="25:40" x14ac:dyDescent="0.3"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</row>
    <row r="236" spans="25:40" x14ac:dyDescent="0.3"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</row>
    <row r="237" spans="25:40" x14ac:dyDescent="0.3"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</row>
    <row r="238" spans="25:40" x14ac:dyDescent="0.3"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</row>
    <row r="239" spans="25:40" x14ac:dyDescent="0.3"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</row>
    <row r="240" spans="25:40" x14ac:dyDescent="0.3"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</row>
    <row r="241" spans="25:40" x14ac:dyDescent="0.3"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</row>
    <row r="242" spans="25:40" x14ac:dyDescent="0.3"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</row>
    <row r="243" spans="25:40" x14ac:dyDescent="0.3"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</row>
    <row r="244" spans="25:40" x14ac:dyDescent="0.3"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</row>
    <row r="245" spans="25:40" x14ac:dyDescent="0.3"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</row>
    <row r="246" spans="25:40" x14ac:dyDescent="0.3"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</row>
    <row r="247" spans="25:40" x14ac:dyDescent="0.3"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</row>
    <row r="248" spans="25:40" x14ac:dyDescent="0.3"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</row>
    <row r="249" spans="25:40" x14ac:dyDescent="0.3"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</row>
    <row r="250" spans="25:40" x14ac:dyDescent="0.3"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</row>
    <row r="251" spans="25:40" x14ac:dyDescent="0.3"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</row>
    <row r="252" spans="25:40" x14ac:dyDescent="0.3"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</row>
    <row r="253" spans="25:40" x14ac:dyDescent="0.3"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</row>
    <row r="254" spans="25:40" x14ac:dyDescent="0.3"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</row>
    <row r="255" spans="25:40" x14ac:dyDescent="0.3"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</row>
    <row r="256" spans="25:40" x14ac:dyDescent="0.3"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</row>
    <row r="257" spans="25:40" x14ac:dyDescent="0.3"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</row>
    <row r="258" spans="25:40" x14ac:dyDescent="0.3"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</row>
    <row r="259" spans="25:40" x14ac:dyDescent="0.3"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</row>
    <row r="260" spans="25:40" x14ac:dyDescent="0.3"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</row>
    <row r="261" spans="25:40" x14ac:dyDescent="0.3"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</row>
    <row r="262" spans="25:40" x14ac:dyDescent="0.3"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</row>
    <row r="263" spans="25:40" x14ac:dyDescent="0.3"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</row>
    <row r="264" spans="25:40" x14ac:dyDescent="0.3"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</row>
    <row r="265" spans="25:40" x14ac:dyDescent="0.3"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pans="25:40" x14ac:dyDescent="0.3"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spans="25:40" x14ac:dyDescent="0.3"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pans="25:40" x14ac:dyDescent="0.3"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spans="25:40" x14ac:dyDescent="0.3"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spans="25:40" x14ac:dyDescent="0.3"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spans="25:40" x14ac:dyDescent="0.3"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pans="25:40" x14ac:dyDescent="0.3"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spans="25:40" x14ac:dyDescent="0.3"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pans="25:40" x14ac:dyDescent="0.3"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pans="25:40" x14ac:dyDescent="0.3"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pans="25:40" x14ac:dyDescent="0.3"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pans="25:40" x14ac:dyDescent="0.3"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pans="25:40" x14ac:dyDescent="0.3"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pans="25:40" x14ac:dyDescent="0.3"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</row>
    <row r="280" spans="25:40" x14ac:dyDescent="0.3"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</row>
    <row r="281" spans="25:40" x14ac:dyDescent="0.3"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</row>
    <row r="282" spans="25:40" x14ac:dyDescent="0.3"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</row>
    <row r="283" spans="25:40" x14ac:dyDescent="0.3"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</row>
    <row r="284" spans="25:40" x14ac:dyDescent="0.3"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</row>
    <row r="285" spans="25:40" x14ac:dyDescent="0.3"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</row>
    <row r="286" spans="25:40" x14ac:dyDescent="0.3"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</row>
    <row r="287" spans="25:40" x14ac:dyDescent="0.3"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</row>
    <row r="288" spans="25:40" x14ac:dyDescent="0.3"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</row>
    <row r="289" spans="25:40" x14ac:dyDescent="0.3"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</row>
    <row r="290" spans="25:40" x14ac:dyDescent="0.3"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</row>
    <row r="291" spans="25:40" x14ac:dyDescent="0.3"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</row>
    <row r="292" spans="25:40" x14ac:dyDescent="0.3"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</row>
    <row r="293" spans="25:40" x14ac:dyDescent="0.3"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</row>
    <row r="294" spans="25:40" x14ac:dyDescent="0.3"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</row>
    <row r="295" spans="25:40" x14ac:dyDescent="0.3"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</row>
    <row r="296" spans="25:40" x14ac:dyDescent="0.3"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</row>
    <row r="297" spans="25:40" x14ac:dyDescent="0.3"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</row>
    <row r="298" spans="25:40" x14ac:dyDescent="0.3"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</row>
    <row r="299" spans="25:40" x14ac:dyDescent="0.3"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</row>
    <row r="300" spans="25:40" x14ac:dyDescent="0.3"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</row>
    <row r="301" spans="25:40" x14ac:dyDescent="0.3"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</row>
    <row r="302" spans="25:40" x14ac:dyDescent="0.3"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</row>
    <row r="303" spans="25:40" x14ac:dyDescent="0.3"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</row>
    <row r="304" spans="25:40" x14ac:dyDescent="0.3"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</row>
    <row r="305" spans="25:40" x14ac:dyDescent="0.3"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</row>
    <row r="306" spans="25:40" x14ac:dyDescent="0.3"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</row>
    <row r="307" spans="25:40" x14ac:dyDescent="0.3"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</row>
    <row r="308" spans="25:40" x14ac:dyDescent="0.3"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</row>
    <row r="309" spans="25:40" x14ac:dyDescent="0.3"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</row>
    <row r="310" spans="25:40" x14ac:dyDescent="0.3"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</row>
    <row r="311" spans="25:40" x14ac:dyDescent="0.3"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</row>
    <row r="312" spans="25:40" x14ac:dyDescent="0.3"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</row>
    <row r="313" spans="25:40" x14ac:dyDescent="0.3"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</row>
    <row r="314" spans="25:40" x14ac:dyDescent="0.3"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</row>
    <row r="315" spans="25:40" x14ac:dyDescent="0.3"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</row>
    <row r="316" spans="25:40" x14ac:dyDescent="0.3"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</row>
    <row r="317" spans="25:40" x14ac:dyDescent="0.3"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</row>
    <row r="318" spans="25:40" x14ac:dyDescent="0.3"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</row>
    <row r="319" spans="25:40" x14ac:dyDescent="0.3"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</row>
    <row r="320" spans="25:40" x14ac:dyDescent="0.3"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</row>
    <row r="321" spans="25:40" x14ac:dyDescent="0.3"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</row>
    <row r="322" spans="25:40" x14ac:dyDescent="0.3"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</row>
    <row r="323" spans="25:40" x14ac:dyDescent="0.3"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</row>
    <row r="324" spans="25:40" x14ac:dyDescent="0.3"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</row>
    <row r="325" spans="25:40" x14ac:dyDescent="0.3"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spans="25:40" x14ac:dyDescent="0.3"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spans="25:40" x14ac:dyDescent="0.3"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</row>
    <row r="328" spans="25:40" x14ac:dyDescent="0.3"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</row>
    <row r="329" spans="25:40" x14ac:dyDescent="0.3"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</row>
    <row r="330" spans="25:40" x14ac:dyDescent="0.3"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</row>
    <row r="331" spans="25:40" x14ac:dyDescent="0.3"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</row>
    <row r="332" spans="25:40" x14ac:dyDescent="0.3"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</row>
    <row r="333" spans="25:40" x14ac:dyDescent="0.3"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</row>
    <row r="334" spans="25:40" x14ac:dyDescent="0.3"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</row>
    <row r="335" spans="25:40" x14ac:dyDescent="0.3"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</row>
    <row r="336" spans="25:40" x14ac:dyDescent="0.3"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</row>
    <row r="337" spans="25:40" x14ac:dyDescent="0.3"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</row>
    <row r="338" spans="25:40" x14ac:dyDescent="0.3"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</row>
    <row r="339" spans="25:40" x14ac:dyDescent="0.3"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</row>
    <row r="340" spans="25:40" x14ac:dyDescent="0.3"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</row>
    <row r="341" spans="25:40" x14ac:dyDescent="0.3"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</row>
    <row r="342" spans="25:40" x14ac:dyDescent="0.3"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</row>
    <row r="343" spans="25:40" x14ac:dyDescent="0.3"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</row>
    <row r="344" spans="25:40" x14ac:dyDescent="0.3"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</row>
    <row r="345" spans="25:40" x14ac:dyDescent="0.3"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</row>
    <row r="346" spans="25:40" x14ac:dyDescent="0.3"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</row>
    <row r="347" spans="25:40" x14ac:dyDescent="0.3"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</row>
    <row r="348" spans="25:40" x14ac:dyDescent="0.3"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</row>
    <row r="349" spans="25:40" x14ac:dyDescent="0.3"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</row>
    <row r="350" spans="25:40" x14ac:dyDescent="0.3"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</row>
    <row r="351" spans="25:40" x14ac:dyDescent="0.3"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</row>
    <row r="352" spans="25:40" x14ac:dyDescent="0.3"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</row>
    <row r="353" spans="25:40" x14ac:dyDescent="0.3"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</row>
    <row r="354" spans="25:40" x14ac:dyDescent="0.3"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</row>
    <row r="355" spans="25:40" x14ac:dyDescent="0.3"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</row>
    <row r="356" spans="25:40" x14ac:dyDescent="0.3"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</row>
    <row r="357" spans="25:40" x14ac:dyDescent="0.3"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</row>
    <row r="358" spans="25:40" x14ac:dyDescent="0.3"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</row>
    <row r="359" spans="25:40" x14ac:dyDescent="0.3"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</row>
    <row r="360" spans="25:40" x14ac:dyDescent="0.3"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</row>
    <row r="361" spans="25:40" x14ac:dyDescent="0.3"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</row>
    <row r="362" spans="25:40" x14ac:dyDescent="0.3"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</row>
    <row r="363" spans="25:40" x14ac:dyDescent="0.3"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spans="25:40" x14ac:dyDescent="0.3"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spans="25:40" x14ac:dyDescent="0.3"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</row>
    <row r="366" spans="25:40" x14ac:dyDescent="0.3"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spans="25:40" x14ac:dyDescent="0.3"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spans="25:40" x14ac:dyDescent="0.3"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spans="25:40" x14ac:dyDescent="0.3"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spans="25:40" x14ac:dyDescent="0.3"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spans="25:40" x14ac:dyDescent="0.3"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spans="25:40" x14ac:dyDescent="0.3"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</row>
    <row r="373" spans="25:40" x14ac:dyDescent="0.3"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</row>
    <row r="374" spans="25:40" x14ac:dyDescent="0.3"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spans="25:40" x14ac:dyDescent="0.3"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spans="25:40" x14ac:dyDescent="0.3"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spans="25:40" x14ac:dyDescent="0.3"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spans="25:40" x14ac:dyDescent="0.3"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spans="25:40" x14ac:dyDescent="0.3"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spans="25:40" x14ac:dyDescent="0.3"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</row>
    <row r="381" spans="25:40" x14ac:dyDescent="0.3"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spans="25:40" x14ac:dyDescent="0.3"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spans="25:40" x14ac:dyDescent="0.3"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pans="25:40" x14ac:dyDescent="0.3"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spans="25:40" x14ac:dyDescent="0.3"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spans="25:40" x14ac:dyDescent="0.3"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spans="25:40" x14ac:dyDescent="0.3"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spans="25:40" x14ac:dyDescent="0.3"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</row>
    <row r="389" spans="25:40" x14ac:dyDescent="0.3"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</row>
    <row r="390" spans="25:40" x14ac:dyDescent="0.3"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</row>
    <row r="391" spans="25:40" x14ac:dyDescent="0.3"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</row>
    <row r="392" spans="25:40" x14ac:dyDescent="0.3"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</row>
    <row r="393" spans="25:40" x14ac:dyDescent="0.3"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</row>
    <row r="394" spans="25:40" x14ac:dyDescent="0.3"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</row>
    <row r="395" spans="25:40" x14ac:dyDescent="0.3"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</row>
    <row r="396" spans="25:40" x14ac:dyDescent="0.3"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</row>
    <row r="397" spans="25:40" x14ac:dyDescent="0.3"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</row>
    <row r="398" spans="25:40" x14ac:dyDescent="0.3"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</row>
    <row r="399" spans="25:40" x14ac:dyDescent="0.3"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</row>
    <row r="400" spans="25:40" x14ac:dyDescent="0.3"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</row>
    <row r="401" spans="25:40" x14ac:dyDescent="0.3"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</row>
    <row r="402" spans="25:40" x14ac:dyDescent="0.3"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</row>
    <row r="403" spans="25:40" x14ac:dyDescent="0.3"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</row>
    <row r="404" spans="25:40" x14ac:dyDescent="0.3"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</row>
    <row r="405" spans="25:40" x14ac:dyDescent="0.3"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</row>
    <row r="406" spans="25:40" x14ac:dyDescent="0.3"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</row>
    <row r="407" spans="25:40" x14ac:dyDescent="0.3"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</row>
    <row r="408" spans="25:40" x14ac:dyDescent="0.3"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</row>
    <row r="409" spans="25:40" x14ac:dyDescent="0.3"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</row>
    <row r="410" spans="25:40" x14ac:dyDescent="0.3"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</row>
    <row r="411" spans="25:40" x14ac:dyDescent="0.3"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</row>
    <row r="412" spans="25:40" x14ac:dyDescent="0.3"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</row>
    <row r="413" spans="25:40" x14ac:dyDescent="0.3"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</row>
    <row r="414" spans="25:40" x14ac:dyDescent="0.3"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</row>
    <row r="415" spans="25:40" x14ac:dyDescent="0.3"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</row>
    <row r="416" spans="25:40" x14ac:dyDescent="0.3"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</row>
    <row r="417" spans="25:40" x14ac:dyDescent="0.3"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</row>
    <row r="418" spans="25:40" x14ac:dyDescent="0.3"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</row>
    <row r="419" spans="25:40" x14ac:dyDescent="0.3"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</row>
    <row r="420" spans="25:40" x14ac:dyDescent="0.3"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</row>
    <row r="421" spans="25:40" x14ac:dyDescent="0.3"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</row>
    <row r="422" spans="25:40" x14ac:dyDescent="0.3"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</row>
    <row r="423" spans="25:40" x14ac:dyDescent="0.3"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</row>
    <row r="424" spans="25:40" x14ac:dyDescent="0.3"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</row>
    <row r="425" spans="25:40" x14ac:dyDescent="0.3"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</row>
    <row r="426" spans="25:40" x14ac:dyDescent="0.3"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</row>
    <row r="427" spans="25:40" x14ac:dyDescent="0.3"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</row>
    <row r="428" spans="25:40" x14ac:dyDescent="0.3"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</row>
    <row r="429" spans="25:40" x14ac:dyDescent="0.3"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</row>
    <row r="430" spans="25:40" x14ac:dyDescent="0.3"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</row>
    <row r="431" spans="25:40" x14ac:dyDescent="0.3"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</row>
    <row r="432" spans="25:40" x14ac:dyDescent="0.3"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</row>
    <row r="433" spans="25:40" x14ac:dyDescent="0.3"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spans="25:40" x14ac:dyDescent="0.3"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spans="25:40" x14ac:dyDescent="0.3"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spans="25:40" x14ac:dyDescent="0.3"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spans="25:40" x14ac:dyDescent="0.3"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</row>
    <row r="438" spans="25:40" x14ac:dyDescent="0.3"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pans="25:40" x14ac:dyDescent="0.3"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pans="25:40" x14ac:dyDescent="0.3"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spans="25:40" x14ac:dyDescent="0.3"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</row>
    <row r="442" spans="25:40" x14ac:dyDescent="0.3"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</row>
    <row r="443" spans="25:40" x14ac:dyDescent="0.3"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</row>
    <row r="444" spans="25:40" x14ac:dyDescent="0.3"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</row>
    <row r="445" spans="25:40" x14ac:dyDescent="0.3"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</row>
    <row r="446" spans="25:40" x14ac:dyDescent="0.3"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</row>
    <row r="447" spans="25:40" x14ac:dyDescent="0.3"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</row>
    <row r="448" spans="25:40" x14ac:dyDescent="0.3"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</row>
    <row r="449" spans="25:40" x14ac:dyDescent="0.3"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</row>
    <row r="450" spans="25:40" x14ac:dyDescent="0.3"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</row>
    <row r="451" spans="25:40" x14ac:dyDescent="0.3"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</row>
    <row r="452" spans="25:40" x14ac:dyDescent="0.3"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</row>
    <row r="453" spans="25:40" x14ac:dyDescent="0.3"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</row>
    <row r="454" spans="25:40" x14ac:dyDescent="0.3"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</row>
    <row r="455" spans="25:40" x14ac:dyDescent="0.3"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</row>
    <row r="456" spans="25:40" x14ac:dyDescent="0.3"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</row>
    <row r="457" spans="25:40" x14ac:dyDescent="0.3"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</row>
    <row r="458" spans="25:40" x14ac:dyDescent="0.3"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</row>
    <row r="459" spans="25:40" x14ac:dyDescent="0.3"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</row>
    <row r="460" spans="25:40" x14ac:dyDescent="0.3"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</row>
    <row r="461" spans="25:40" x14ac:dyDescent="0.3"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</row>
    <row r="462" spans="25:40" x14ac:dyDescent="0.3"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</row>
    <row r="463" spans="25:40" x14ac:dyDescent="0.3"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</row>
    <row r="464" spans="25:40" x14ac:dyDescent="0.3"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</row>
    <row r="465" spans="25:40" x14ac:dyDescent="0.3"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</row>
    <row r="466" spans="25:40" x14ac:dyDescent="0.3"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</row>
    <row r="467" spans="25:40" x14ac:dyDescent="0.3"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</row>
    <row r="468" spans="25:40" x14ac:dyDescent="0.3"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</row>
    <row r="469" spans="25:40" x14ac:dyDescent="0.3"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</row>
    <row r="470" spans="25:40" x14ac:dyDescent="0.3"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</row>
    <row r="471" spans="25:40" x14ac:dyDescent="0.3"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</row>
    <row r="472" spans="25:40" x14ac:dyDescent="0.3"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</row>
    <row r="473" spans="25:40" x14ac:dyDescent="0.3"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</row>
    <row r="474" spans="25:40" x14ac:dyDescent="0.3"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</row>
    <row r="475" spans="25:40" x14ac:dyDescent="0.3"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</row>
    <row r="476" spans="25:40" x14ac:dyDescent="0.3"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</row>
    <row r="477" spans="25:40" x14ac:dyDescent="0.3"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</row>
    <row r="478" spans="25:40" x14ac:dyDescent="0.3"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</row>
    <row r="479" spans="25:40" x14ac:dyDescent="0.3"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</row>
    <row r="480" spans="25:40" x14ac:dyDescent="0.3"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</row>
    <row r="481" spans="25:40" x14ac:dyDescent="0.3"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</row>
    <row r="482" spans="25:40" x14ac:dyDescent="0.3"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</row>
    <row r="483" spans="25:40" x14ac:dyDescent="0.3"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</row>
    <row r="484" spans="25:40" x14ac:dyDescent="0.3"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</row>
    <row r="485" spans="25:40" x14ac:dyDescent="0.3"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</row>
    <row r="486" spans="25:40" x14ac:dyDescent="0.3"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</row>
    <row r="487" spans="25:40" x14ac:dyDescent="0.3"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</row>
    <row r="488" spans="25:40" x14ac:dyDescent="0.3"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</row>
    <row r="489" spans="25:40" x14ac:dyDescent="0.3"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</row>
    <row r="490" spans="25:40" x14ac:dyDescent="0.3"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</row>
    <row r="491" spans="25:40" x14ac:dyDescent="0.3"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</row>
    <row r="492" spans="25:40" x14ac:dyDescent="0.3"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</row>
    <row r="493" spans="25:40" x14ac:dyDescent="0.3"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</row>
    <row r="494" spans="25:40" x14ac:dyDescent="0.3"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</row>
    <row r="495" spans="25:40" x14ac:dyDescent="0.3"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</row>
    <row r="496" spans="25:40" x14ac:dyDescent="0.3"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</row>
    <row r="497" spans="25:40" x14ac:dyDescent="0.3"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</row>
    <row r="498" spans="25:40" x14ac:dyDescent="0.3"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</row>
    <row r="499" spans="25:40" x14ac:dyDescent="0.3"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</row>
    <row r="500" spans="25:40" x14ac:dyDescent="0.3"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</row>
    <row r="501" spans="25:40" x14ac:dyDescent="0.3"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</row>
    <row r="502" spans="25:40" x14ac:dyDescent="0.3"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</row>
    <row r="503" spans="25:40" x14ac:dyDescent="0.3"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</row>
    <row r="504" spans="25:40" x14ac:dyDescent="0.3"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</row>
    <row r="505" spans="25:40" x14ac:dyDescent="0.3"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</row>
    <row r="506" spans="25:40" x14ac:dyDescent="0.3"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</row>
    <row r="507" spans="25:40" x14ac:dyDescent="0.3"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</row>
    <row r="508" spans="25:40" x14ac:dyDescent="0.3"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</row>
    <row r="509" spans="25:40" x14ac:dyDescent="0.3"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</row>
    <row r="510" spans="25:40" x14ac:dyDescent="0.3"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</row>
    <row r="511" spans="25:40" x14ac:dyDescent="0.3"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</row>
    <row r="512" spans="25:40" x14ac:dyDescent="0.3"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</row>
    <row r="513" spans="25:40" x14ac:dyDescent="0.3"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</row>
    <row r="514" spans="25:40" x14ac:dyDescent="0.3"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</row>
    <row r="515" spans="25:40" x14ac:dyDescent="0.3"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</row>
    <row r="516" spans="25:40" x14ac:dyDescent="0.3"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</row>
    <row r="517" spans="25:40" x14ac:dyDescent="0.3"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</row>
    <row r="518" spans="25:40" x14ac:dyDescent="0.3"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</row>
    <row r="519" spans="25:40" x14ac:dyDescent="0.3"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</row>
    <row r="520" spans="25:40" x14ac:dyDescent="0.3"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</row>
    <row r="521" spans="25:40" x14ac:dyDescent="0.3"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</row>
    <row r="522" spans="25:40" x14ac:dyDescent="0.3"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</row>
    <row r="523" spans="25:40" x14ac:dyDescent="0.3"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</row>
    <row r="524" spans="25:40" x14ac:dyDescent="0.3"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</row>
    <row r="525" spans="25:40" x14ac:dyDescent="0.3"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</row>
    <row r="526" spans="25:40" x14ac:dyDescent="0.3"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</row>
    <row r="527" spans="25:40" x14ac:dyDescent="0.3"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</row>
    <row r="528" spans="25:40" x14ac:dyDescent="0.3"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</row>
    <row r="529" spans="25:40" x14ac:dyDescent="0.3"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</row>
    <row r="530" spans="25:40" x14ac:dyDescent="0.3"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</row>
    <row r="531" spans="25:40" x14ac:dyDescent="0.3"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</row>
    <row r="532" spans="25:40" x14ac:dyDescent="0.3"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</row>
    <row r="533" spans="25:40" x14ac:dyDescent="0.3"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</row>
    <row r="534" spans="25:40" x14ac:dyDescent="0.3"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</row>
    <row r="535" spans="25:40" x14ac:dyDescent="0.3"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</row>
    <row r="536" spans="25:40" x14ac:dyDescent="0.3"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</row>
    <row r="537" spans="25:40" x14ac:dyDescent="0.3"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</row>
    <row r="538" spans="25:40" x14ac:dyDescent="0.3"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</row>
    <row r="539" spans="25:40" x14ac:dyDescent="0.3"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</row>
    <row r="540" spans="25:40" x14ac:dyDescent="0.3"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</row>
    <row r="541" spans="25:40" x14ac:dyDescent="0.3"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</row>
    <row r="542" spans="25:40" x14ac:dyDescent="0.3"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</row>
    <row r="543" spans="25:40" x14ac:dyDescent="0.3"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</row>
    <row r="544" spans="25:40" x14ac:dyDescent="0.3"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</row>
    <row r="545" spans="25:40" x14ac:dyDescent="0.3"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</row>
    <row r="546" spans="25:40" x14ac:dyDescent="0.3"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</row>
    <row r="547" spans="25:40" x14ac:dyDescent="0.3"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</row>
    <row r="548" spans="25:40" x14ac:dyDescent="0.3"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</row>
    <row r="549" spans="25:40" x14ac:dyDescent="0.3"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</row>
    <row r="550" spans="25:40" x14ac:dyDescent="0.3"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</row>
    <row r="551" spans="25:40" x14ac:dyDescent="0.3"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</row>
    <row r="552" spans="25:40" x14ac:dyDescent="0.3"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</row>
    <row r="553" spans="25:40" x14ac:dyDescent="0.3"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</row>
    <row r="554" spans="25:40" x14ac:dyDescent="0.3"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</row>
    <row r="555" spans="25:40" x14ac:dyDescent="0.3"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</row>
    <row r="556" spans="25:40" x14ac:dyDescent="0.3"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</row>
    <row r="557" spans="25:40" x14ac:dyDescent="0.3"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</row>
    <row r="558" spans="25:40" x14ac:dyDescent="0.3"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</row>
    <row r="559" spans="25:40" x14ac:dyDescent="0.3"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</row>
    <row r="560" spans="25:40" x14ac:dyDescent="0.3"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</row>
    <row r="561" spans="25:40" x14ac:dyDescent="0.3"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</row>
    <row r="562" spans="25:40" x14ac:dyDescent="0.3"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</row>
    <row r="563" spans="25:40" x14ac:dyDescent="0.3"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</row>
    <row r="564" spans="25:40" x14ac:dyDescent="0.3"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</row>
    <row r="565" spans="25:40" x14ac:dyDescent="0.3"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</row>
    <row r="566" spans="25:40" x14ac:dyDescent="0.3"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</row>
    <row r="567" spans="25:40" x14ac:dyDescent="0.3"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</row>
    <row r="568" spans="25:40" x14ac:dyDescent="0.3"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</row>
    <row r="569" spans="25:40" x14ac:dyDescent="0.3"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</row>
    <row r="570" spans="25:40" x14ac:dyDescent="0.3"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</row>
    <row r="571" spans="25:40" x14ac:dyDescent="0.3"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</row>
    <row r="572" spans="25:40" x14ac:dyDescent="0.3"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</row>
    <row r="573" spans="25:40" x14ac:dyDescent="0.3"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</row>
    <row r="574" spans="25:40" x14ac:dyDescent="0.3"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</row>
    <row r="575" spans="25:40" x14ac:dyDescent="0.3"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</row>
    <row r="576" spans="25:40" x14ac:dyDescent="0.3"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</row>
    <row r="577" spans="25:40" x14ac:dyDescent="0.3"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</row>
    <row r="578" spans="25:40" x14ac:dyDescent="0.3"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</row>
    <row r="579" spans="25:40" x14ac:dyDescent="0.3"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</row>
    <row r="580" spans="25:40" x14ac:dyDescent="0.3"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</row>
    <row r="581" spans="25:40" x14ac:dyDescent="0.3"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</row>
    <row r="582" spans="25:40" x14ac:dyDescent="0.3"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</row>
    <row r="583" spans="25:40" x14ac:dyDescent="0.3"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</row>
    <row r="584" spans="25:40" x14ac:dyDescent="0.3"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</row>
    <row r="585" spans="25:40" x14ac:dyDescent="0.3"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</row>
    <row r="586" spans="25:40" x14ac:dyDescent="0.3"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</row>
    <row r="587" spans="25:40" x14ac:dyDescent="0.3"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</row>
    <row r="588" spans="25:40" x14ac:dyDescent="0.3"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</row>
    <row r="589" spans="25:40" x14ac:dyDescent="0.3"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</row>
    <row r="590" spans="25:40" x14ac:dyDescent="0.3"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</row>
    <row r="591" spans="25:40" x14ac:dyDescent="0.3"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</row>
    <row r="592" spans="25:40" x14ac:dyDescent="0.3"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</row>
    <row r="593" spans="25:40" x14ac:dyDescent="0.3"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</row>
    <row r="594" spans="25:40" x14ac:dyDescent="0.3"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</row>
    <row r="595" spans="25:40" x14ac:dyDescent="0.3"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spans="25:40" x14ac:dyDescent="0.3"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</row>
    <row r="597" spans="25:40" x14ac:dyDescent="0.3"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598" spans="25:40" x14ac:dyDescent="0.3"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</row>
    <row r="599" spans="25:40" x14ac:dyDescent="0.3"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</row>
    <row r="600" spans="25:40" x14ac:dyDescent="0.3"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</row>
    <row r="601" spans="25:40" x14ac:dyDescent="0.3"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</row>
    <row r="602" spans="25:40" x14ac:dyDescent="0.3"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</row>
    <row r="603" spans="25:40" x14ac:dyDescent="0.3"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</row>
    <row r="604" spans="25:40" x14ac:dyDescent="0.3"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</row>
    <row r="605" spans="25:40" x14ac:dyDescent="0.3"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</row>
    <row r="606" spans="25:40" x14ac:dyDescent="0.3"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</row>
    <row r="607" spans="25:40" x14ac:dyDescent="0.3"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</row>
    <row r="608" spans="25:40" x14ac:dyDescent="0.3"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</row>
    <row r="609" spans="25:40" x14ac:dyDescent="0.3"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</row>
    <row r="610" spans="25:40" x14ac:dyDescent="0.3"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</row>
    <row r="611" spans="25:40" x14ac:dyDescent="0.3"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</row>
    <row r="612" spans="25:40" x14ac:dyDescent="0.3"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</row>
    <row r="613" spans="25:40" x14ac:dyDescent="0.3"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</row>
    <row r="614" spans="25:40" x14ac:dyDescent="0.3"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</row>
    <row r="615" spans="25:40" x14ac:dyDescent="0.3"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</row>
    <row r="616" spans="25:40" x14ac:dyDescent="0.3"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</row>
    <row r="617" spans="25:40" x14ac:dyDescent="0.3"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</row>
    <row r="618" spans="25:40" x14ac:dyDescent="0.3"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</row>
    <row r="619" spans="25:40" x14ac:dyDescent="0.3"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</row>
    <row r="620" spans="25:40" x14ac:dyDescent="0.3"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</row>
    <row r="621" spans="25:40" x14ac:dyDescent="0.3"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</row>
    <row r="622" spans="25:40" x14ac:dyDescent="0.3"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</row>
    <row r="623" spans="25:40" x14ac:dyDescent="0.3"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</row>
    <row r="624" spans="25:40" x14ac:dyDescent="0.3"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</row>
    <row r="625" spans="25:40" x14ac:dyDescent="0.3"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</row>
    <row r="626" spans="25:40" x14ac:dyDescent="0.3"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</row>
    <row r="627" spans="25:40" x14ac:dyDescent="0.3"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</row>
    <row r="628" spans="25:40" x14ac:dyDescent="0.3"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</row>
    <row r="629" spans="25:40" x14ac:dyDescent="0.3"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</row>
    <row r="630" spans="25:40" x14ac:dyDescent="0.3"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</row>
    <row r="631" spans="25:40" x14ac:dyDescent="0.3"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</row>
    <row r="632" spans="25:40" x14ac:dyDescent="0.3"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</row>
    <row r="633" spans="25:40" x14ac:dyDescent="0.3"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</row>
    <row r="634" spans="25:40" x14ac:dyDescent="0.3"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</row>
    <row r="635" spans="25:40" x14ac:dyDescent="0.3"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</row>
    <row r="636" spans="25:40" x14ac:dyDescent="0.3"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</row>
    <row r="637" spans="25:40" x14ac:dyDescent="0.3"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</row>
    <row r="638" spans="25:40" x14ac:dyDescent="0.3"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</row>
    <row r="639" spans="25:40" x14ac:dyDescent="0.3"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</row>
    <row r="640" spans="25:40" x14ac:dyDescent="0.3"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</row>
    <row r="641" spans="25:40" x14ac:dyDescent="0.3"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</row>
    <row r="642" spans="25:40" x14ac:dyDescent="0.3"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</row>
    <row r="643" spans="25:40" x14ac:dyDescent="0.3"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</row>
    <row r="644" spans="25:40" x14ac:dyDescent="0.3"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</row>
    <row r="645" spans="25:40" x14ac:dyDescent="0.3"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</row>
    <row r="646" spans="25:40" x14ac:dyDescent="0.3"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</row>
    <row r="647" spans="25:40" x14ac:dyDescent="0.3"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</row>
    <row r="648" spans="25:40" x14ac:dyDescent="0.3"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</row>
    <row r="649" spans="25:40" x14ac:dyDescent="0.3"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</row>
    <row r="650" spans="25:40" x14ac:dyDescent="0.3"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</row>
    <row r="651" spans="25:40" x14ac:dyDescent="0.3"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</row>
    <row r="652" spans="25:40" x14ac:dyDescent="0.3"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</row>
    <row r="653" spans="25:40" x14ac:dyDescent="0.3"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</row>
    <row r="654" spans="25:40" x14ac:dyDescent="0.3"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</row>
    <row r="655" spans="25:40" x14ac:dyDescent="0.3"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</row>
    <row r="656" spans="25:40" x14ac:dyDescent="0.3"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</row>
    <row r="657" spans="25:40" x14ac:dyDescent="0.3"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</row>
    <row r="658" spans="25:40" x14ac:dyDescent="0.3"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</row>
    <row r="659" spans="25:40" x14ac:dyDescent="0.3"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</row>
    <row r="660" spans="25:40" x14ac:dyDescent="0.3"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</row>
    <row r="661" spans="25:40" x14ac:dyDescent="0.3"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</row>
    <row r="662" spans="25:40" x14ac:dyDescent="0.3"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</row>
    <row r="663" spans="25:40" x14ac:dyDescent="0.3"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</row>
    <row r="664" spans="25:40" x14ac:dyDescent="0.3"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</row>
    <row r="665" spans="25:40" x14ac:dyDescent="0.3"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</row>
    <row r="666" spans="25:40" x14ac:dyDescent="0.3"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</row>
    <row r="667" spans="25:40" x14ac:dyDescent="0.3"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</row>
    <row r="668" spans="25:40" x14ac:dyDescent="0.3"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</row>
    <row r="669" spans="25:40" x14ac:dyDescent="0.3"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</row>
    <row r="670" spans="25:40" x14ac:dyDescent="0.3"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</row>
    <row r="671" spans="25:40" x14ac:dyDescent="0.3"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</row>
    <row r="672" spans="25:40" x14ac:dyDescent="0.3"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</row>
    <row r="673" spans="25:40" x14ac:dyDescent="0.3"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</row>
    <row r="674" spans="25:40" x14ac:dyDescent="0.3"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</row>
    <row r="675" spans="25:40" x14ac:dyDescent="0.3"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</row>
    <row r="676" spans="25:40" x14ac:dyDescent="0.3"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</row>
    <row r="677" spans="25:40" x14ac:dyDescent="0.3"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</row>
    <row r="678" spans="25:40" x14ac:dyDescent="0.3"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</row>
    <row r="679" spans="25:40" x14ac:dyDescent="0.3"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</row>
    <row r="680" spans="25:40" x14ac:dyDescent="0.3"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</row>
    <row r="681" spans="25:40" x14ac:dyDescent="0.3"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</row>
    <row r="682" spans="25:40" x14ac:dyDescent="0.3"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</row>
    <row r="683" spans="25:40" x14ac:dyDescent="0.3"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</row>
    <row r="684" spans="25:40" x14ac:dyDescent="0.3"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</row>
    <row r="685" spans="25:40" x14ac:dyDescent="0.3"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</row>
    <row r="686" spans="25:40" x14ac:dyDescent="0.3"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</row>
    <row r="687" spans="25:40" x14ac:dyDescent="0.3"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</row>
    <row r="688" spans="25:40" x14ac:dyDescent="0.3"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</row>
    <row r="689" spans="25:40" x14ac:dyDescent="0.3"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</row>
    <row r="690" spans="25:40" x14ac:dyDescent="0.3"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</row>
    <row r="691" spans="25:40" x14ac:dyDescent="0.3"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</row>
    <row r="692" spans="25:40" x14ac:dyDescent="0.3"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</row>
    <row r="693" spans="25:40" x14ac:dyDescent="0.3"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</row>
    <row r="694" spans="25:40" x14ac:dyDescent="0.3"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</row>
    <row r="695" spans="25:40" x14ac:dyDescent="0.3"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</row>
    <row r="696" spans="25:40" x14ac:dyDescent="0.3"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</row>
    <row r="697" spans="25:40" x14ac:dyDescent="0.3"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</row>
    <row r="698" spans="25:40" x14ac:dyDescent="0.3"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</row>
    <row r="699" spans="25:40" x14ac:dyDescent="0.3"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</row>
    <row r="700" spans="25:40" x14ac:dyDescent="0.3"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</row>
    <row r="701" spans="25:40" x14ac:dyDescent="0.3"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</row>
    <row r="702" spans="25:40" x14ac:dyDescent="0.3"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</row>
    <row r="703" spans="25:40" x14ac:dyDescent="0.3"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</row>
    <row r="704" spans="25:40" x14ac:dyDescent="0.3"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</row>
    <row r="705" spans="25:40" x14ac:dyDescent="0.3"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</row>
    <row r="706" spans="25:40" x14ac:dyDescent="0.3"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</row>
    <row r="707" spans="25:40" x14ac:dyDescent="0.3"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</row>
    <row r="708" spans="25:40" x14ac:dyDescent="0.3"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</row>
    <row r="709" spans="25:40" x14ac:dyDescent="0.3"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</row>
    <row r="710" spans="25:40" x14ac:dyDescent="0.3"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</row>
    <row r="711" spans="25:40" x14ac:dyDescent="0.3"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</row>
    <row r="712" spans="25:40" x14ac:dyDescent="0.3"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</row>
    <row r="713" spans="25:40" x14ac:dyDescent="0.3"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</row>
    <row r="714" spans="25:40" x14ac:dyDescent="0.3"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</row>
    <row r="715" spans="25:40" x14ac:dyDescent="0.3"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</row>
    <row r="716" spans="25:40" x14ac:dyDescent="0.3"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</row>
    <row r="717" spans="25:40" x14ac:dyDescent="0.3"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</row>
    <row r="718" spans="25:40" x14ac:dyDescent="0.3"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</row>
  </sheetData>
  <autoFilter ref="D6:W173" xr:uid="{00000000-0001-0000-0000-000000000000}">
    <filterColumn colId="0" showButton="0"/>
    <filterColumn colId="10" showButton="0"/>
  </autoFilter>
  <mergeCells count="20">
    <mergeCell ref="T6:T9"/>
    <mergeCell ref="S6:S9"/>
    <mergeCell ref="D6:E7"/>
    <mergeCell ref="H6:H9"/>
    <mergeCell ref="N6:O7"/>
    <mergeCell ref="D8:D9"/>
    <mergeCell ref="E8:E9"/>
    <mergeCell ref="M6:M9"/>
    <mergeCell ref="N8:N9"/>
    <mergeCell ref="F6:F8"/>
    <mergeCell ref="V6:V9"/>
    <mergeCell ref="W6:W9"/>
    <mergeCell ref="G6:G9"/>
    <mergeCell ref="I6:I9"/>
    <mergeCell ref="J6:J9"/>
    <mergeCell ref="K6:K9"/>
    <mergeCell ref="L6:L9"/>
    <mergeCell ref="P6:P9"/>
    <mergeCell ref="Q6:Q9"/>
    <mergeCell ref="R6:R9"/>
  </mergeCells>
  <conditionalFormatting sqref="P10:P103 P105:P173">
    <cfRule type="cellIs" dxfId="1" priority="1" operator="greaterThan">
      <formula>2500</formula>
    </cfRule>
  </conditionalFormatting>
  <conditionalFormatting sqref="Q10:Q103 Q105:Q173"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MANEJO</vt:lpstr>
      <vt:lpstr>DATOS</vt:lpstr>
      <vt:lpstr>ETIQUETA_beta</vt:lpstr>
      <vt:lpstr>ETIQUETA_manual</vt:lpstr>
      <vt:lpstr>EQUIPOS</vt:lpstr>
      <vt:lpstr>REFRIGERANTES</vt:lpstr>
      <vt:lpstr>ETIQUETA_beta!Área_de_impresión</vt:lpstr>
      <vt:lpstr>ETIQUETA_manual!Área_de_impresión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Mario Rial</cp:lastModifiedBy>
  <dcterms:created xsi:type="dcterms:W3CDTF">2015-06-05T18:19:34Z</dcterms:created>
  <dcterms:modified xsi:type="dcterms:W3CDTF">2024-11-14T15:30:33Z</dcterms:modified>
</cp:coreProperties>
</file>