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Y:\Msoffice\Winword\Epyme\Gabinete tecnico\02.RITE\02.DOCUMENTOS\03.MANUALES\F GAS\"/>
    </mc:Choice>
  </mc:AlternateContent>
  <xr:revisionPtr revIDLastSave="0" documentId="13_ncr:1_{6151E52C-CFCD-48E1-A071-463B63868A2E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MANEJO DE LA HOJA" sheetId="5" r:id="rId1"/>
    <sheet name="MANEJO DE LA HOJA CONTROL" sheetId="7" r:id="rId2"/>
    <sheet name="Comprobador de calendario" sheetId="2" r:id="rId3"/>
    <sheet name="Control de fugas" sheetId="6" r:id="rId4"/>
    <sheet name="Hoja3" sheetId="4" state="hidden" r:id="rId5"/>
    <sheet name="REFRIGERANTES" sheetId="1" state="hidden" r:id="rId6"/>
  </sheets>
  <definedNames>
    <definedName name="_xlnm._FilterDatabase" localSheetId="5" hidden="1">REFRIGERANTES!$D$6:$W$173</definedName>
    <definedName name="_xlnm.Print_Area" localSheetId="2">'Comprobador de calendario'!$A$1:$L$78</definedName>
    <definedName name="_xlnm.Print_Area" localSheetId="3">'Control de fugas'!$A$1:$L$19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6" l="1"/>
  <c r="J10" i="6"/>
  <c r="J7" i="6"/>
  <c r="F7" i="6"/>
  <c r="G14" i="6" s="1"/>
  <c r="F7" i="2"/>
  <c r="J10" i="2"/>
  <c r="A13" i="2"/>
  <c r="L70" i="2" s="1"/>
  <c r="K13" i="6" l="1"/>
  <c r="I17" i="6" s="1"/>
  <c r="F10" i="6"/>
  <c r="G10" i="6"/>
  <c r="I10" i="6"/>
  <c r="F44" i="2"/>
  <c r="G74" i="2"/>
  <c r="A44" i="2"/>
  <c r="K70" i="2"/>
  <c r="D51" i="2"/>
  <c r="H51" i="2"/>
  <c r="C44" i="2"/>
  <c r="G66" i="2"/>
  <c r="F13" i="2"/>
  <c r="B65" i="2"/>
  <c r="A51" i="2"/>
  <c r="A70" i="2"/>
  <c r="C51" i="2"/>
  <c r="J66" i="2"/>
  <c r="G51" i="2"/>
  <c r="K66" i="2"/>
  <c r="D65" i="2"/>
  <c r="E65" i="2"/>
  <c r="E57" i="2"/>
  <c r="H70" i="2"/>
  <c r="E51" i="2"/>
  <c r="H57" i="2"/>
  <c r="F70" i="2"/>
  <c r="A65" i="2"/>
  <c r="A74" i="2"/>
  <c r="I44" i="2"/>
  <c r="C65" i="2"/>
  <c r="L66" i="2"/>
  <c r="J70" i="2"/>
  <c r="C57" i="2"/>
  <c r="F66" i="2"/>
  <c r="A57" i="2"/>
  <c r="J57" i="2"/>
  <c r="H66" i="2"/>
  <c r="D70" i="2"/>
  <c r="I66" i="2"/>
  <c r="T125" i="1" l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F32" i="2" l="1"/>
  <c r="J20" i="2"/>
  <c r="A30" i="2"/>
  <c r="F20" i="2"/>
  <c r="A25" i="2"/>
  <c r="F25" i="2"/>
  <c r="A19" i="2"/>
  <c r="F28" i="2"/>
  <c r="J7" i="2"/>
  <c r="F10" i="2"/>
  <c r="V10" i="1"/>
  <c r="V12" i="1"/>
  <c r="V11" i="1"/>
  <c r="W11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V114" i="1"/>
  <c r="W114" i="1"/>
  <c r="V115" i="1"/>
  <c r="W115" i="1"/>
  <c r="V116" i="1"/>
  <c r="W116" i="1"/>
  <c r="V117" i="1"/>
  <c r="W117" i="1"/>
  <c r="V118" i="1"/>
  <c r="W118" i="1"/>
  <c r="V119" i="1"/>
  <c r="W119" i="1"/>
  <c r="V120" i="1"/>
  <c r="W120" i="1"/>
  <c r="V121" i="1"/>
  <c r="W121" i="1"/>
  <c r="V122" i="1"/>
  <c r="W122" i="1"/>
  <c r="V123" i="1"/>
  <c r="W123" i="1"/>
  <c r="V124" i="1"/>
  <c r="W124" i="1"/>
  <c r="V125" i="1"/>
  <c r="W125" i="1"/>
  <c r="V126" i="1"/>
  <c r="W126" i="1"/>
  <c r="V127" i="1"/>
  <c r="W127" i="1"/>
  <c r="V128" i="1"/>
  <c r="W128" i="1"/>
  <c r="V129" i="1"/>
  <c r="W129" i="1"/>
  <c r="V130" i="1"/>
  <c r="W130" i="1"/>
  <c r="V131" i="1"/>
  <c r="W131" i="1"/>
  <c r="V132" i="1"/>
  <c r="W132" i="1"/>
  <c r="V133" i="1"/>
  <c r="W133" i="1"/>
  <c r="V134" i="1"/>
  <c r="W134" i="1"/>
  <c r="V135" i="1"/>
  <c r="W135" i="1"/>
  <c r="V136" i="1"/>
  <c r="W136" i="1"/>
  <c r="V137" i="1"/>
  <c r="W137" i="1"/>
  <c r="V138" i="1"/>
  <c r="W138" i="1"/>
  <c r="V139" i="1"/>
  <c r="W139" i="1"/>
  <c r="V140" i="1"/>
  <c r="W140" i="1"/>
  <c r="V141" i="1"/>
  <c r="W141" i="1"/>
  <c r="V142" i="1"/>
  <c r="W142" i="1"/>
  <c r="V143" i="1"/>
  <c r="W143" i="1"/>
  <c r="V144" i="1"/>
  <c r="W144" i="1"/>
  <c r="V145" i="1"/>
  <c r="W145" i="1"/>
  <c r="V146" i="1"/>
  <c r="W146" i="1"/>
  <c r="V147" i="1"/>
  <c r="W147" i="1"/>
  <c r="V148" i="1"/>
  <c r="W148" i="1"/>
  <c r="V149" i="1"/>
  <c r="W149" i="1"/>
  <c r="V150" i="1"/>
  <c r="W150" i="1"/>
  <c r="V151" i="1"/>
  <c r="W151" i="1"/>
  <c r="V152" i="1"/>
  <c r="W152" i="1"/>
  <c r="V153" i="1"/>
  <c r="W153" i="1"/>
  <c r="V154" i="1"/>
  <c r="W154" i="1"/>
  <c r="V155" i="1"/>
  <c r="W155" i="1"/>
  <c r="V156" i="1"/>
  <c r="W156" i="1"/>
  <c r="V157" i="1"/>
  <c r="W157" i="1"/>
  <c r="V158" i="1"/>
  <c r="W158" i="1"/>
  <c r="V159" i="1"/>
  <c r="W159" i="1"/>
  <c r="V160" i="1"/>
  <c r="W160" i="1"/>
  <c r="V161" i="1"/>
  <c r="W161" i="1"/>
  <c r="V162" i="1"/>
  <c r="W162" i="1"/>
  <c r="V163" i="1"/>
  <c r="W163" i="1"/>
  <c r="V164" i="1"/>
  <c r="W164" i="1"/>
  <c r="V165" i="1"/>
  <c r="W165" i="1"/>
  <c r="V166" i="1"/>
  <c r="W166" i="1"/>
  <c r="V167" i="1"/>
  <c r="W167" i="1"/>
  <c r="V168" i="1"/>
  <c r="W168" i="1"/>
  <c r="V169" i="1"/>
  <c r="W169" i="1"/>
  <c r="V170" i="1"/>
  <c r="W170" i="1"/>
  <c r="V171" i="1"/>
  <c r="W171" i="1"/>
  <c r="V172" i="1"/>
  <c r="W172" i="1"/>
  <c r="W10" i="1"/>
</calcChain>
</file>

<file path=xl/sharedStrings.xml><?xml version="1.0" encoding="utf-8"?>
<sst xmlns="http://schemas.openxmlformats.org/spreadsheetml/2006/main" count="1943" uniqueCount="1017">
  <si>
    <t>Clasificación</t>
  </si>
  <si>
    <t>DENOMINACIÓN</t>
  </si>
  <si>
    <t>Fórmula</t>
  </si>
  <si>
    <t>Masa Molecular (3)</t>
  </si>
  <si>
    <t>Densidad de vapor a 25 ºC a 101,3 kPa</t>
  </si>
  <si>
    <r>
      <t>kg/m</t>
    </r>
    <r>
      <rPr>
        <b/>
        <vertAlign val="superscript"/>
        <sz val="9"/>
        <color rgb="FF333333"/>
        <rFont val="Arial Narrow"/>
        <family val="2"/>
      </rPr>
      <t>3</t>
    </r>
  </si>
  <si>
    <t>Límite Práctico</t>
  </si>
  <si>
    <t>Punto de Ebullición 101,3 kPa</t>
  </si>
  <si>
    <t>Inflamabilidad</t>
  </si>
  <si>
    <t>Grupo L</t>
  </si>
  <si>
    <t>Clase de seguridad</t>
  </si>
  <si>
    <t>N.º de Refrigerante (2)</t>
  </si>
  <si>
    <t>Límite inferior de Inflamabilidad</t>
  </si>
  <si>
    <t>A1</t>
  </si>
  <si>
    <t>R-11</t>
  </si>
  <si>
    <t>Triclorofluormetano</t>
  </si>
  <si>
    <t>CCl3F(10)</t>
  </si>
  <si>
    <t>137.4</t>
  </si>
  <si>
    <t>5.62</t>
  </si>
  <si>
    <t>0.3</t>
  </si>
  <si>
    <t>0.0062</t>
  </si>
  <si>
    <t>ND</t>
  </si>
  <si>
    <t>NF</t>
  </si>
  <si>
    <t>R-12</t>
  </si>
  <si>
    <t>Diclorodiflurometano</t>
  </si>
  <si>
    <t>CCl2F2(10)</t>
  </si>
  <si>
    <t>120.9</t>
  </si>
  <si>
    <t>4.94</t>
  </si>
  <si>
    <t>0.5</t>
  </si>
  <si>
    <t>–29</t>
  </si>
  <si>
    <t>0.088</t>
  </si>
  <si>
    <t>R-12B1</t>
  </si>
  <si>
    <t>Bromoclorodiflurometano</t>
  </si>
  <si>
    <t>CBrClF2(10)</t>
  </si>
  <si>
    <t>165.4</t>
  </si>
  <si>
    <t>6.76</t>
  </si>
  <si>
    <t>0.2</t>
  </si>
  <si>
    <t>–4</t>
  </si>
  <si>
    <t>R-13</t>
  </si>
  <si>
    <t>Clorotrifluormetano</t>
  </si>
  <si>
    <t>CClF3(10)</t>
  </si>
  <si>
    <t>104.5</t>
  </si>
  <si>
    <t>4.27</t>
  </si>
  <si>
    <t>–81</t>
  </si>
  <si>
    <t>R-13B1</t>
  </si>
  <si>
    <t>Bromotrifluormetano</t>
  </si>
  <si>
    <t>CBrF3(10)</t>
  </si>
  <si>
    <t>148.9</t>
  </si>
  <si>
    <t>6.09</t>
  </si>
  <si>
    <t>0.6</t>
  </si>
  <si>
    <t>–58</t>
  </si>
  <si>
    <t>R-14</t>
  </si>
  <si>
    <t>Tetrafluoruro de carbono</t>
  </si>
  <si>
    <t>88.0</t>
  </si>
  <si>
    <t>3.60</t>
  </si>
  <si>
    <t>0.4</t>
  </si>
  <si>
    <t>–128</t>
  </si>
  <si>
    <t>0.40</t>
  </si>
  <si>
    <t>R-22</t>
  </si>
  <si>
    <t>Clorodifluormetano</t>
  </si>
  <si>
    <t>CHClF2(10)</t>
  </si>
  <si>
    <t>86.5</t>
  </si>
  <si>
    <t>3.54</t>
  </si>
  <si>
    <t>–41</t>
  </si>
  <si>
    <t>R-23</t>
  </si>
  <si>
    <t>Trifluormetano</t>
  </si>
  <si>
    <t>CHF3(11)</t>
  </si>
  <si>
    <t>70.0</t>
  </si>
  <si>
    <t>2.86</t>
  </si>
  <si>
    <t>0.68</t>
  </si>
  <si>
    <t>–82</t>
  </si>
  <si>
    <t>0.15</t>
  </si>
  <si>
    <t>R-113</t>
  </si>
  <si>
    <t>1,1,2-Tricloro-1,2,2trifluoretano</t>
  </si>
  <si>
    <t>CCL2FCCIF2(10)</t>
  </si>
  <si>
    <t>187.4</t>
  </si>
  <si>
    <t>NA</t>
  </si>
  <si>
    <t>R-114</t>
  </si>
  <si>
    <t>1,2-Dicloro-1,1,2,2 tetrafluoretano</t>
  </si>
  <si>
    <t>CClF2CCIF2(10)</t>
  </si>
  <si>
    <t>170.9</t>
  </si>
  <si>
    <t>6.99</t>
  </si>
  <si>
    <t>0.7</t>
  </si>
  <si>
    <t>0.14</t>
  </si>
  <si>
    <t>R-115</t>
  </si>
  <si>
    <t>2-Cloro-1,1,1,2,2pentafluoretano</t>
  </si>
  <si>
    <t>CF3CClF2(10)</t>
  </si>
  <si>
    <t>154.5</t>
  </si>
  <si>
    <t>6.32</t>
  </si>
  <si>
    <t>0.76</t>
  </si>
  <si>
    <t>–39</t>
  </si>
  <si>
    <t>R-116</t>
  </si>
  <si>
    <t>Hexafluoretano</t>
  </si>
  <si>
    <t>CF3CF3(11)</t>
  </si>
  <si>
    <t>138.0</t>
  </si>
  <si>
    <t>5.64</t>
  </si>
  <si>
    <t>–78</t>
  </si>
  <si>
    <t>R-124</t>
  </si>
  <si>
    <t>2-Cloro-1,1,1,2tetrafluoretano</t>
  </si>
  <si>
    <t>CF3CHClF(10)</t>
  </si>
  <si>
    <t>136.5</t>
  </si>
  <si>
    <t>5.58</t>
  </si>
  <si>
    <t>0.11</t>
  </si>
  <si>
    <t>–12</t>
  </si>
  <si>
    <t>0.056</t>
  </si>
  <si>
    <t>R-125</t>
  </si>
  <si>
    <t>Pentafluoretano</t>
  </si>
  <si>
    <t>120.0</t>
  </si>
  <si>
    <t>4.91</t>
  </si>
  <si>
    <t>0.39</t>
  </si>
  <si>
    <t>–49</t>
  </si>
  <si>
    <t>0.37</t>
  </si>
  <si>
    <t>R-134a</t>
  </si>
  <si>
    <t>1,1,1,2-Tetrafluoretano</t>
  </si>
  <si>
    <t>CF3CH2F(11)</t>
  </si>
  <si>
    <t>102.0</t>
  </si>
  <si>
    <t>4.17</t>
  </si>
  <si>
    <t>0.25</t>
  </si>
  <si>
    <t>–26</t>
  </si>
  <si>
    <t>0.21</t>
  </si>
  <si>
    <t>R-218</t>
  </si>
  <si>
    <t>Octofluorpropano</t>
  </si>
  <si>
    <t>CF3CF2CF3 (11)</t>
  </si>
  <si>
    <t>188.0</t>
  </si>
  <si>
    <t>7.69</t>
  </si>
  <si>
    <t>1.84</t>
  </si>
  <si>
    <t>–37</t>
  </si>
  <si>
    <t>0.85</t>
  </si>
  <si>
    <t>R-227ea</t>
  </si>
  <si>
    <t>1,1,1,2,3,3,3-Heptafluorpropano</t>
  </si>
  <si>
    <t>CF3CHFCF3(11)</t>
  </si>
  <si>
    <t>170.0</t>
  </si>
  <si>
    <t>6.95</t>
  </si>
  <si>
    <t>0.63</t>
  </si>
  <si>
    <t>–15</t>
  </si>
  <si>
    <t>R-236fa</t>
  </si>
  <si>
    <t>1,1,1,3,3,3-Hexafluorpropano</t>
  </si>
  <si>
    <t>CF3CH2CF3(11)</t>
  </si>
  <si>
    <t>152.0</t>
  </si>
  <si>
    <t>6.22</t>
  </si>
  <si>
    <t>0.59</t>
  </si>
  <si>
    <t>–1</t>
  </si>
  <si>
    <t>0.34</t>
  </si>
  <si>
    <t>R-1233zd(E)</t>
  </si>
  <si>
    <t>Trans-1-cloro-3,3,3trifluorprop-1-N</t>
  </si>
  <si>
    <t>130.5</t>
  </si>
  <si>
    <t>5.34</t>
  </si>
  <si>
    <t>0.086</t>
  </si>
  <si>
    <t>18.1</t>
  </si>
  <si>
    <t>R-C318</t>
  </si>
  <si>
    <t>Octofluorciclobutano</t>
  </si>
  <si>
    <t>C4F8(11)</t>
  </si>
  <si>
    <t>200.0</t>
  </si>
  <si>
    <t>8.18</t>
  </si>
  <si>
    <t>0.81</t>
  </si>
  <si>
    <t>–6</t>
  </si>
  <si>
    <t>0.65</t>
  </si>
  <si>
    <t>R-500</t>
  </si>
  <si>
    <t>R-12/152a (73.8/26.2)</t>
  </si>
  <si>
    <t>CCl2F2 + CHF2CH3 (10;11)</t>
  </si>
  <si>
    <t>99.3</t>
  </si>
  <si>
    <t>4.06</t>
  </si>
  <si>
    <t>–33.5</t>
  </si>
  <si>
    <t>0.12</t>
  </si>
  <si>
    <t>R-501</t>
  </si>
  <si>
    <t>R-22/12 (75/25)</t>
  </si>
  <si>
    <t>CCl2F2 + CHClF2 (10;11)</t>
  </si>
  <si>
    <t>93.1</t>
  </si>
  <si>
    <t>3.81</t>
  </si>
  <si>
    <t>0.38</t>
  </si>
  <si>
    <t>–41.0</t>
  </si>
  <si>
    <t>0.29</t>
  </si>
  <si>
    <t>R-502</t>
  </si>
  <si>
    <t>R-22/115 (48.8/51.2)</t>
  </si>
  <si>
    <t>CHClF2+ CF3CClF2(10;11)</t>
  </si>
  <si>
    <t>4.56</t>
  </si>
  <si>
    <t>0.45</t>
  </si>
  <si>
    <t>–45.4</t>
  </si>
  <si>
    <t>0.33</t>
  </si>
  <si>
    <t>R-503</t>
  </si>
  <si>
    <t>R-23/13 (40.1/59.9)</t>
  </si>
  <si>
    <t>CHF3+CClF3(10;11)</t>
  </si>
  <si>
    <t>87.5</t>
  </si>
  <si>
    <t>3.58</t>
  </si>
  <si>
    <t>0.35</t>
  </si>
  <si>
    <t>–88.7</t>
  </si>
  <si>
    <t>R-504</t>
  </si>
  <si>
    <t>R-32/115 (48.2/51.8)</t>
  </si>
  <si>
    <t>CH2F2+CClF2CF3 (10;11)</t>
  </si>
  <si>
    <t>79.2</t>
  </si>
  <si>
    <t>3.24</t>
  </si>
  <si>
    <t>–57</t>
  </si>
  <si>
    <t>0.31</t>
  </si>
  <si>
    <t>R-507A</t>
  </si>
  <si>
    <t>R-125/143a (50/50)</t>
  </si>
  <si>
    <t>CF3CHF2CF3CH3 (11)</t>
  </si>
  <si>
    <t>98.9</t>
  </si>
  <si>
    <t>4.04</t>
  </si>
  <si>
    <t>0.53</t>
  </si>
  <si>
    <t>–46.7</t>
  </si>
  <si>
    <t>R-508A</t>
  </si>
  <si>
    <t>R-23/116 (39/61)</t>
  </si>
  <si>
    <t>CHF3+C2F6(11)</t>
  </si>
  <si>
    <t>100.1</t>
  </si>
  <si>
    <t>4.09</t>
  </si>
  <si>
    <t>0.23</t>
  </si>
  <si>
    <t>–86.0</t>
  </si>
  <si>
    <t>R-508B</t>
  </si>
  <si>
    <t>R-23/116 (46/54)</t>
  </si>
  <si>
    <t>CHF3+C2F6 (11)</t>
  </si>
  <si>
    <t>95.4</t>
  </si>
  <si>
    <t>3.90</t>
  </si>
  <si>
    <t>–88.3</t>
  </si>
  <si>
    <t>R-509A</t>
  </si>
  <si>
    <t>-22/218 (44/56)</t>
  </si>
  <si>
    <t>CHClF2+ C3F8 (10;11)</t>
  </si>
  <si>
    <t>5.07</t>
  </si>
  <si>
    <t>0.56</t>
  </si>
  <si>
    <t>–47.0</t>
  </si>
  <si>
    <t>R-134a/1234yf (44/56)</t>
  </si>
  <si>
    <t>CH2FCF3+CF3CF=CH2 (11)</t>
  </si>
  <si>
    <t>108.4</t>
  </si>
  <si>
    <t>0.319</t>
  </si>
  <si>
    <t>–29.05</t>
  </si>
  <si>
    <t>R-718</t>
  </si>
  <si>
    <t>Agua</t>
  </si>
  <si>
    <t>H2O</t>
  </si>
  <si>
    <t>R-744</t>
  </si>
  <si>
    <t>Dióxido de carbono</t>
  </si>
  <si>
    <t>CO2</t>
  </si>
  <si>
    <t>44.0</t>
  </si>
  <si>
    <t>1.80</t>
  </si>
  <si>
    <t>0.1</t>
  </si>
  <si>
    <t>0.072</t>
  </si>
  <si>
    <t>A1/A1</t>
  </si>
  <si>
    <t>R-401A</t>
  </si>
  <si>
    <t>R-22/152a/124 (53/13/34)</t>
  </si>
  <si>
    <t>CHClF2+ CHF2CH3+CF3CHClF (10;11)</t>
  </si>
  <si>
    <t>94.4</t>
  </si>
  <si>
    <t>3.86</t>
  </si>
  <si>
    <t>33.4 a –27.8</t>
  </si>
  <si>
    <t>0.10</t>
  </si>
  <si>
    <t>R-401B</t>
  </si>
  <si>
    <t>R-22/152a/124 (61/11/28)</t>
  </si>
  <si>
    <t>CHClF2+ CHF2CH3 CF3CHClF (10;11)</t>
  </si>
  <si>
    <t>92.8</t>
  </si>
  <si>
    <t>3.80</t>
  </si>
  <si>
    <t>–34.9 a –29.6</t>
  </si>
  <si>
    <t>0.04</t>
  </si>
  <si>
    <t>R-401C</t>
  </si>
  <si>
    <t>R-22/152a/124 (33/15/52)</t>
  </si>
  <si>
    <t>CHClF2+ CHF2CH3+ CF3CHClF (10;11)</t>
  </si>
  <si>
    <t>4.13</t>
  </si>
  <si>
    <t>0.24</t>
  </si>
  <si>
    <t>–28.9 a –23.3</t>
  </si>
  <si>
    <t>0.083</t>
  </si>
  <si>
    <t>R-402A</t>
  </si>
  <si>
    <t>R-125/290/22 (60/2/38)</t>
  </si>
  <si>
    <t>CF3CHF2+ C3H8+ CHClF2 (10;11)</t>
  </si>
  <si>
    <t>101.5</t>
  </si>
  <si>
    <t>4.16</t>
  </si>
  <si>
    <t>–49.2 a –47.0</t>
  </si>
  <si>
    <t>0.27</t>
  </si>
  <si>
    <t>R-402B</t>
  </si>
  <si>
    <t>R-125/290/22 (38/2/60)</t>
  </si>
  <si>
    <t>94.7</t>
  </si>
  <si>
    <t>3.87</t>
  </si>
  <si>
    <t>0.32</t>
  </si>
  <si>
    <t>–47.2 a –44.8</t>
  </si>
  <si>
    <t>R-403A</t>
  </si>
  <si>
    <t>R-290/22/218 (5/75/20)</t>
  </si>
  <si>
    <t>C3H8+CHClF2+ C3F8 (10;11)</t>
  </si>
  <si>
    <t>3.76</t>
  </si>
  <si>
    <t>–47.7 a –44.3</t>
  </si>
  <si>
    <t>0.80</t>
  </si>
  <si>
    <t>R-403B</t>
  </si>
  <si>
    <t>R-290/22/218 (5/56/39)</t>
  </si>
  <si>
    <t>103.3</t>
  </si>
  <si>
    <t>4.22</t>
  </si>
  <si>
    <t>0.41</t>
  </si>
  <si>
    <t>–49.1 a –46.84</t>
  </si>
  <si>
    <t>A1 / A1</t>
  </si>
  <si>
    <t>R-404A</t>
  </si>
  <si>
    <t>R-125/143a/134a (44/52/4)</t>
  </si>
  <si>
    <t>CF3CHF2+ CF3CH3+ CF3CH2F (11)</t>
  </si>
  <si>
    <t>97.6</t>
  </si>
  <si>
    <t>3.99</t>
  </si>
  <si>
    <t>0.52</t>
  </si>
  <si>
    <t>–46.5 a –45.7</t>
  </si>
  <si>
    <t>R-405A</t>
  </si>
  <si>
    <t>R-22/152a/142b/C318 (45/7/5.5/42.5)</t>
  </si>
  <si>
    <t>CHClF2+ CHF2CH3+ CH3CClF2+ C4F8 (10;11)</t>
  </si>
  <si>
    <t>111.9</t>
  </si>
  <si>
    <t>4.58</t>
  </si>
  <si>
    <t>–32.8 a –24.4</t>
  </si>
  <si>
    <t>0.26</t>
  </si>
  <si>
    <t>R-407A</t>
  </si>
  <si>
    <t>R-32/125/134a (20/40/40)</t>
  </si>
  <si>
    <t>CH2F2+ CF3CHF2+ CF3CH2F (11)</t>
  </si>
  <si>
    <t>90.1</t>
  </si>
  <si>
    <t>3.68</t>
  </si>
  <si>
    <t>–45.2 a –38.7</t>
  </si>
  <si>
    <t>R-407B</t>
  </si>
  <si>
    <t>R-32/125/134a (10/70/20)</t>
  </si>
  <si>
    <t>102.9</t>
  </si>
  <si>
    <t>4.21</t>
  </si>
  <si>
    <t>–46.8 a –42.4</t>
  </si>
  <si>
    <t>R-407C</t>
  </si>
  <si>
    <t>R-32/125/134a (23/25/52)</t>
  </si>
  <si>
    <t>86.2</t>
  </si>
  <si>
    <t>3.53</t>
  </si>
  <si>
    <t>–43.8 a –36.7</t>
  </si>
  <si>
    <t>R-407D</t>
  </si>
  <si>
    <t>R-32/125/134a (15/15/70)</t>
  </si>
  <si>
    <t>90.9</t>
  </si>
  <si>
    <t>3.72</t>
  </si>
  <si>
    <t>–39.4 a –32.7</t>
  </si>
  <si>
    <t>R-407E</t>
  </si>
  <si>
    <t>R-32/125/134a (25/15/60)</t>
  </si>
  <si>
    <t>83.8</t>
  </si>
  <si>
    <t>3.43</t>
  </si>
  <si>
    <t>–42.8 a –35.6</t>
  </si>
  <si>
    <t>R-407F</t>
  </si>
  <si>
    <t>R-32/125/134a (30/30/40)</t>
  </si>
  <si>
    <t>82.1</t>
  </si>
  <si>
    <t>3.36</t>
  </si>
  <si>
    <t>–46.1 a –39.7</t>
  </si>
  <si>
    <t>R-407H</t>
  </si>
  <si>
    <t>R-32/125/134a (32.5/15.0/52.5)</t>
  </si>
  <si>
    <t>CH2F2 / CHF2-CF3 / CF3CH2F (11)</t>
  </si>
  <si>
    <t>42.03</t>
  </si>
  <si>
    <t>–44,7 a –37,6</t>
  </si>
  <si>
    <t>R-408A</t>
  </si>
  <si>
    <t>R-125/143a/22 (7/46/47)</t>
  </si>
  <si>
    <t>CF3CHF2+ CF3CH3+ CHClF2 (10;11)</t>
  </si>
  <si>
    <t>87.0</t>
  </si>
  <si>
    <t>3.56</t>
  </si>
  <si>
    <t>44.6 a –44.1</t>
  </si>
  <si>
    <t>R-409A</t>
  </si>
  <si>
    <t>R-22/124/142b (60/25/15)</t>
  </si>
  <si>
    <t>CHClF2+ CF3CHClF+ CH3CClF2 (10;11)</t>
  </si>
  <si>
    <t>97.5</t>
  </si>
  <si>
    <t>3.98</t>
  </si>
  <si>
    <t>0.16</t>
  </si>
  <si>
    <t>–34.7 a –26.3</t>
  </si>
  <si>
    <t>R-409B</t>
  </si>
  <si>
    <t>R-22/124/142b (65/25/10)</t>
  </si>
  <si>
    <t>96.7</t>
  </si>
  <si>
    <t>3.95</t>
  </si>
  <si>
    <t>0.17</t>
  </si>
  <si>
    <t>–35.8 a –28.2</t>
  </si>
  <si>
    <t>R-410A</t>
  </si>
  <si>
    <t>R-32/125 (50/50</t>
  </si>
  <si>
    <t>CH2F2+ CF3CHF2 (11)</t>
  </si>
  <si>
    <t>72.6</t>
  </si>
  <si>
    <t>2.97</t>
  </si>
  <si>
    <t>0.44</t>
  </si>
  <si>
    <t>–51.6 a –51.5</t>
  </si>
  <si>
    <t>0.42</t>
  </si>
  <si>
    <t>R-410B</t>
  </si>
  <si>
    <t>R-32/125 (45/55)</t>
  </si>
  <si>
    <t>75.5</t>
  </si>
  <si>
    <t>3.09</t>
  </si>
  <si>
    <t>0.43</t>
  </si>
  <si>
    <t>–51.5 a –51.4</t>
  </si>
  <si>
    <t>R-22/124/600 (50/47/3)</t>
  </si>
  <si>
    <t>CHClF2+ CF3CHClF+ C4H10 (10;11)</t>
  </si>
  <si>
    <t>102.7</t>
  </si>
  <si>
    <t>X</t>
  </si>
  <si>
    <t>–34.1</t>
  </si>
  <si>
    <t>R-125/143a /290/22 (42/6/2/50)</t>
  </si>
  <si>
    <t>CF3CHF2+ CF3CH3+ C3H8+CHClF2 (10;11)</t>
  </si>
  <si>
    <t>95.6</t>
  </si>
  <si>
    <t>–45.6</t>
  </si>
  <si>
    <t>R-414A</t>
  </si>
  <si>
    <t>R-22/124/600a/142b (51.0/28.5/4.0/16.5)</t>
  </si>
  <si>
    <t>CHClF2+CF3CHClF+CH(CH3)3+CH3CClF2 (10;11)</t>
  </si>
  <si>
    <t>97.0</t>
  </si>
  <si>
    <t>3.96</t>
  </si>
  <si>
    <t>–33.2 a –24.7</t>
  </si>
  <si>
    <t>R-414B</t>
  </si>
  <si>
    <t>R-22/124/600a/142b (50.0/39.0/1.5/9.5)</t>
  </si>
  <si>
    <t>101.6</t>
  </si>
  <si>
    <t>0.096</t>
  </si>
  <si>
    <t>R-416A</t>
  </si>
  <si>
    <t>R-134a/124/600 (59.0/39.5/1.5)</t>
  </si>
  <si>
    <t>CF3CH2F+ CF3CHClF+ C4H10 (10;11)</t>
  </si>
  <si>
    <t>0.064</t>
  </si>
  <si>
    <t>–23.9 a –22.1</t>
  </si>
  <si>
    <t>R-417A</t>
  </si>
  <si>
    <t>R-125/134a/600 (46.6/50.0/3.4)</t>
  </si>
  <si>
    <t>CF3CHF2+ CF3CH2F+ C4H10 (11)</t>
  </si>
  <si>
    <t>106.7</t>
  </si>
  <si>
    <t>4.36</t>
  </si>
  <si>
    <t>–38.0 a –32.9</t>
  </si>
  <si>
    <t>0.057</t>
  </si>
  <si>
    <t>A/A1</t>
  </si>
  <si>
    <t>R-417B</t>
  </si>
  <si>
    <t>R-125/134a/600 (79.0/18.3/2,7)</t>
  </si>
  <si>
    <t>113.1</t>
  </si>
  <si>
    <t>4.63</t>
  </si>
  <si>
    <t>0.069</t>
  </si>
  <si>
    <t>–44,9 a –41,5</t>
  </si>
  <si>
    <t>R-417C</t>
  </si>
  <si>
    <t>R-125/134a/600 (19.5/78.8/1.7)</t>
  </si>
  <si>
    <t>103.7</t>
  </si>
  <si>
    <t>4.24</t>
  </si>
  <si>
    <t>0.087</t>
  </si>
  <si>
    <r>
      <t>–32.7 a </t>
    </r>
    <r>
      <rPr>
        <sz val="9"/>
        <color rgb="FF000000"/>
        <rFont val="Arial Narrow"/>
        <family val="2"/>
      </rPr>
      <t>–</t>
    </r>
    <r>
      <rPr>
        <i/>
        <sz val="9"/>
        <color rgb="FF000000"/>
        <rFont val="Arial Narrow"/>
        <family val="2"/>
      </rPr>
      <t>29.2</t>
    </r>
  </si>
  <si>
    <t>0.097</t>
  </si>
  <si>
    <t>R-119A</t>
  </si>
  <si>
    <t>R-125/290/218 (86/5/9)</t>
  </si>
  <si>
    <t>CF3CHF2+ C3H8+ C3F8 (11)</t>
  </si>
  <si>
    <t>113.9</t>
  </si>
  <si>
    <t>0.49</t>
  </si>
  <si>
    <t>–54</t>
  </si>
  <si>
    <t>R-420A</t>
  </si>
  <si>
    <t>R-134a/142b (88.0/12.0)</t>
  </si>
  <si>
    <t>CF3CH2F+CClF2CH3 (10;11)</t>
  </si>
  <si>
    <t>101.9</t>
  </si>
  <si>
    <t>0.18</t>
  </si>
  <si>
    <r>
      <t>–24.9 a </t>
    </r>
    <r>
      <rPr>
        <sz val="9"/>
        <color rgb="FF000000"/>
        <rFont val="Arial Narrow"/>
        <family val="2"/>
      </rPr>
      <t>–</t>
    </r>
    <r>
      <rPr>
        <i/>
        <sz val="9"/>
        <color rgb="FF000000"/>
        <rFont val="Arial Narrow"/>
        <family val="2"/>
      </rPr>
      <t>24.2</t>
    </r>
  </si>
  <si>
    <t>R-421A</t>
  </si>
  <si>
    <t>R-125/134a (58.0/42.0)</t>
  </si>
  <si>
    <t>CF3CHF2+CF3CH2F (11)</t>
  </si>
  <si>
    <t>111.8</t>
  </si>
  <si>
    <t>4.57</t>
  </si>
  <si>
    <t>0.28</t>
  </si>
  <si>
    <r>
      <t>–40.8 a </t>
    </r>
    <r>
      <rPr>
        <sz val="9"/>
        <color rgb="FF000000"/>
        <rFont val="Arial Narrow"/>
        <family val="2"/>
      </rPr>
      <t>–</t>
    </r>
    <r>
      <rPr>
        <i/>
        <sz val="9"/>
        <color rgb="FF000000"/>
        <rFont val="Arial Narrow"/>
        <family val="2"/>
      </rPr>
      <t>35.5</t>
    </r>
  </si>
  <si>
    <t>R-421B</t>
  </si>
  <si>
    <t>R-125/134a (58/42)</t>
  </si>
  <si>
    <t>116.9</t>
  </si>
  <si>
    <t>4.78</t>
  </si>
  <si>
    <t>–45.7 a –42.6</t>
  </si>
  <si>
    <t>R-422A</t>
  </si>
  <si>
    <t>R-125/134a/600a (85.1/11.5/3.4)</t>
  </si>
  <si>
    <t>CF3CHF+CF3CH2F+CH(CH3)3 (11)</t>
  </si>
  <si>
    <t>113.6</t>
  </si>
  <si>
    <t>4.65</t>
  </si>
  <si>
    <t>–46.5 a –44.1</t>
  </si>
  <si>
    <t>R-422B</t>
  </si>
  <si>
    <t>R-125/134a/600a (55/42/3)</t>
  </si>
  <si>
    <t>CF3CHF2+CF3CH2F+CH(CH3)3 (11)</t>
  </si>
  <si>
    <t>108.5</t>
  </si>
  <si>
    <t>4.44</t>
  </si>
  <si>
    <t>–40.5 a –35.6</t>
  </si>
  <si>
    <t>R-422C</t>
  </si>
  <si>
    <t>R-125/134a/600a (82/15/3)</t>
  </si>
  <si>
    <t>113.4</t>
  </si>
  <si>
    <t>4.64</t>
  </si>
  <si>
    <t>–45.3 a –42.3</t>
  </si>
  <si>
    <t>A1/A</t>
  </si>
  <si>
    <t>R-125/134a/600a (65.1/31.5/3.4)</t>
  </si>
  <si>
    <t>CF3CHF2+CF3CH2F+CH(CH3)3(11)</t>
  </si>
  <si>
    <t>109.9</t>
  </si>
  <si>
    <t>4.49</t>
  </si>
  <si>
    <t>–43.2 a –38.4</t>
  </si>
  <si>
    <t>R-422E</t>
  </si>
  <si>
    <t>R-125/134a/600a (58.0/39.3/2.7)</t>
  </si>
  <si>
    <t>109.3</t>
  </si>
  <si>
    <t>4.47</t>
  </si>
  <si>
    <t>–41.8 a –36.4</t>
  </si>
  <si>
    <t>R-423A</t>
  </si>
  <si>
    <t>R-134a/227ea (52.5/47.5)</t>
  </si>
  <si>
    <t>CF3CH2F+ CF3CHFCF3 (11)</t>
  </si>
  <si>
    <t>126.0</t>
  </si>
  <si>
    <t>5.15</t>
  </si>
  <si>
    <t>0.30</t>
  </si>
  <si>
    <t>–24.2 a –23.5</t>
  </si>
  <si>
    <t>R-424A</t>
  </si>
  <si>
    <t>R-125/134a/600a/600/601a (50,5/47.0/0,9/1.0/0,6)</t>
  </si>
  <si>
    <t>CHF2CF3+CH2FCF3+C4H10 +C4H10+C5H12 (11)</t>
  </si>
  <si>
    <t>4.43</t>
  </si>
  <si>
    <t>–39,1 a –33,3</t>
  </si>
  <si>
    <t>R-425A</t>
  </si>
  <si>
    <t>R-32/134a/227ea (18.5/69.5/12.0)</t>
  </si>
  <si>
    <t>CH2F2+CF3CH2F+ CF3CHFCF3 (11)</t>
  </si>
  <si>
    <t>90.3</t>
  </si>
  <si>
    <t>3.69</t>
  </si>
  <si>
    <t>–38.1 a –31.3</t>
  </si>
  <si>
    <t>R-426A</t>
  </si>
  <si>
    <t>R-125/134a/600/601a (5,1/93.0/1,3/0,6)</t>
  </si>
  <si>
    <t>CHF2CF3+ CH2FCF3+ C4H10+C5H12 (11)</t>
  </si>
  <si>
    <t>–28,5 a –26.7</t>
  </si>
  <si>
    <t>R-427</t>
  </si>
  <si>
    <t>R-32/ R-125/R-143a /R-134a (4,99/7,51/2,57/84,93)</t>
  </si>
  <si>
    <t>CH2F2+ CF3CHF2+CF3CH3+ CF3CH2F (11)</t>
  </si>
  <si>
    <t>–33,09 a –28,62</t>
  </si>
  <si>
    <t>–</t>
  </si>
  <si>
    <t>R-427A</t>
  </si>
  <si>
    <t>R-32/125/143a/134a (15/25/10/50)</t>
  </si>
  <si>
    <t>CH2F2+CF3CHF2+CF3 CH3+CF3CH2F (11)</t>
  </si>
  <si>
    <t>3.70</t>
  </si>
  <si>
    <t>–43,0 a –36.3</t>
  </si>
  <si>
    <t>R-428A</t>
  </si>
  <si>
    <t>R-125/143a/290/600a (77,5/20.0/0.6/1,9)</t>
  </si>
  <si>
    <t>CHF2CF3+CH3CF3+ C3H8+C4H10 (11)</t>
  </si>
  <si>
    <t>4.40</t>
  </si>
  <si>
    <t>–48,3 a –47,5</t>
  </si>
  <si>
    <t>R-434A</t>
  </si>
  <si>
    <t>R-125/143a/134a/600a (63,2/18.0/16.0/2,8)</t>
  </si>
  <si>
    <t>CHF2CF3+CH3CF3+CH2FCF3+C4H10 (11)</t>
  </si>
  <si>
    <t>4.32</t>
  </si>
  <si>
    <t>–45,0 a –42,3</t>
  </si>
  <si>
    <t>R-437A</t>
  </si>
  <si>
    <t>R-125/134.ª/600/601 (19,5/78,5/1,40.6)</t>
  </si>
  <si>
    <t>HF2CF3+CH2FCF3+CH(CH3)3+ CH3CH2CH2+CH2CH3 (11)</t>
  </si>
  <si>
    <t>103.71</t>
  </si>
  <si>
    <t>–32,9 a –29.2</t>
  </si>
  <si>
    <t>0.081</t>
  </si>
  <si>
    <t>R(1)</t>
  </si>
  <si>
    <t>R-125/218/134a (11/4/85)</t>
  </si>
  <si>
    <t>CHF2CF3+C3F8+CF3CH2F (11)</t>
  </si>
  <si>
    <t>105.72</t>
  </si>
  <si>
    <t>–29.61 a –27.64</t>
  </si>
  <si>
    <t>R-438A</t>
  </si>
  <si>
    <t>R-32/125/134a/600/601a (8.5/45.0/44.2/1.7/0.6)</t>
  </si>
  <si>
    <t>CH2F2+CHF2CF3+CH2FCF3++CF3CH2F+C4H10+C5H12+CH3 CH2CH2CH2CH3 (11)</t>
  </si>
  <si>
    <t>99.1</t>
  </si>
  <si>
    <t>4.05</t>
  </si>
  <si>
    <t>0.079</t>
  </si>
  <si>
    <t>–43.0 a –36.4</t>
  </si>
  <si>
    <t>R-453A</t>
  </si>
  <si>
    <t>R-32/125/134a/227ea/600/601 (20.0/20.0/53.8/5.0/0.6/0.6</t>
  </si>
  <si>
    <t>CH2F2+ CHF2F3+CH2FCF3+CF3CHFCF3+CH3(CH2)2CH3+(CH3)2CH-CH2-CH3 (11)</t>
  </si>
  <si>
    <t>88.4</t>
  </si>
  <si>
    <t>–44.5 a –42.5</t>
  </si>
  <si>
    <t>-42,52 a -34,98</t>
  </si>
  <si>
    <t>R-442A</t>
  </si>
  <si>
    <t>R-32/125/134a/152a/227a (31/31/30/3/5)</t>
  </si>
  <si>
    <t>CH2F2+CHF2CF3+CH2FCF3+CH 3CHF2+CF3CHFCF3 (11)</t>
  </si>
  <si>
    <t>81.8</t>
  </si>
  <si>
    <t>3.35</t>
  </si>
  <si>
    <t>–52.7 a –46.5</t>
  </si>
  <si>
    <t>R-448A</t>
  </si>
  <si>
    <t>R-32/125/1234yf/134a/1234z e(E) 26/26/20/21/7</t>
  </si>
  <si>
    <t>CH2F2+CF3CHF2+CH2CFCF3+ CF3CH2F+CHFCHCF3 (11)</t>
  </si>
  <si>
    <t>86.28</t>
  </si>
  <si>
    <t>0.388</t>
  </si>
  <si>
    <t>–45.9 a –39.8</t>
  </si>
  <si>
    <t>R-449A</t>
  </si>
  <si>
    <t>R-32/125/1234yf/134a (24.3/24.7/25.3/25.7)</t>
  </si>
  <si>
    <t>CF2F2+CF3CHF2+CF3CFCH2+ CF3CH2F (11)</t>
  </si>
  <si>
    <t>87.21</t>
  </si>
  <si>
    <t>3.62</t>
  </si>
  <si>
    <t>0.357</t>
  </si>
  <si>
    <t>–46.0 a –39.9</t>
  </si>
  <si>
    <t>R-450A</t>
  </si>
  <si>
    <t>R-134a/1234ze(E) (42/58)</t>
  </si>
  <si>
    <t>CF3CH2F+CF3CH=CHF (11)</t>
  </si>
  <si>
    <t>108.67</t>
  </si>
  <si>
    <t>4.54</t>
  </si>
  <si>
    <t>–23.4 a –22.8</t>
  </si>
  <si>
    <t>0.345</t>
  </si>
  <si>
    <t>R-452A</t>
  </si>
  <si>
    <t>R-32/125/1234yf (11/59/30)</t>
  </si>
  <si>
    <t>CH2F2+CF3CHF2+CF3CFCH2 (11)</t>
  </si>
  <si>
    <t>103.51</t>
  </si>
  <si>
    <t>4.30</t>
  </si>
  <si>
    <t>0.423</t>
  </si>
  <si>
    <t>–47.0 a –43.2</t>
  </si>
  <si>
    <t>R-134a/125/32/143a (84,93/7,51/4,99/2,57)</t>
  </si>
  <si>
    <t>CF3CH2F+CF3CHF2+CH2F2+CF3CH3 (11)</t>
  </si>
  <si>
    <t>97.87</t>
  </si>
  <si>
    <t>R-464A</t>
  </si>
  <si>
    <t>R-32/125/1234ze(E)/227ea (27/27/40/6)</t>
  </si>
  <si>
    <t>CH2F2+CHF2CF3+CHFCHF3+CF3CHFCF3 (11)</t>
  </si>
  <si>
    <t>88.27</t>
  </si>
  <si>
    <t>0.321</t>
  </si>
  <si>
    <t>–46,5 a –36,9</t>
  </si>
  <si>
    <t>R-744/32/125/134a/1234ze (E)/227ea (11/11/11/4/56/7)</t>
  </si>
  <si>
    <t>CO2+CH2F2+CHF2CF3+CH2FCF 3+CHFCHCF3+CF3CHFCF3 (11)</t>
  </si>
  <si>
    <t>–62,9 a –31,7</t>
  </si>
  <si>
    <t>R-744/32/125/134a/1234ze (E)/227ea (10/17/19/7/44/3)</t>
  </si>
  <si>
    <t>–62,7 a –35,6</t>
  </si>
  <si>
    <t>R-125/R-143a/R-134a/R-600a (38/10/49,2/2,8)</t>
  </si>
  <si>
    <t>R-471A</t>
  </si>
  <si>
    <t>R-473A</t>
  </si>
  <si>
    <t>R-481A</t>
  </si>
  <si>
    <t>R-32 / R-125 / R-134a/ R1233zd(E) / R-601a (16.9/ 6.3/ 74.4/ 1.8/</t>
  </si>
  <si>
    <t> 88,6</t>
  </si>
  <si>
    <t>R-515B</t>
  </si>
  <si>
    <t>–18.92</t>
  </si>
  <si>
    <t>A2L</t>
  </si>
  <si>
    <t>R-32</t>
  </si>
  <si>
    <t>Difluormetano</t>
  </si>
  <si>
    <t>CH2F2 (11)</t>
  </si>
  <si>
    <t>–52</t>
  </si>
  <si>
    <t>R-143a</t>
  </si>
  <si>
    <t>1,1,1-Trifluoretano</t>
  </si>
  <si>
    <t>CF3CH3 (11)</t>
  </si>
  <si>
    <t>–47</t>
  </si>
  <si>
    <t>R-1234yf</t>
  </si>
  <si>
    <t>2,3,3,3Tetrafluorpropeno</t>
  </si>
  <si>
    <t>114.0</t>
  </si>
  <si>
    <t>4.66</t>
  </si>
  <si>
    <t>0.058</t>
  </si>
  <si>
    <t>0.47</t>
  </si>
  <si>
    <t>0.289</t>
  </si>
  <si>
    <t>Trans 1,3,3,3 Tetrafluorpropeno</t>
  </si>
  <si>
    <t>0.061</t>
  </si>
  <si>
    <t>–19</t>
  </si>
  <si>
    <t>0.303</t>
  </si>
  <si>
    <t>R-444A</t>
  </si>
  <si>
    <t>R-32/152A/1234ze(E) 12/5/83</t>
  </si>
  <si>
    <t>96.70</t>
  </si>
  <si>
    <t>4.03</t>
  </si>
  <si>
    <t>0.065</t>
  </si>
  <si>
    <t>–34.3 a –24.3</t>
  </si>
  <si>
    <t>0.324</t>
  </si>
  <si>
    <t>R-444B</t>
  </si>
  <si>
    <t>R-32/152A/1234ze (E) (41,5/10/48,5)</t>
  </si>
  <si>
    <t>CH2F2+CH3CHF2+ CF3CH=CHF(11)</t>
  </si>
  <si>
    <t>–44.6 a –34.9</t>
  </si>
  <si>
    <t>R-445A</t>
  </si>
  <si>
    <t>R-744/134a/1234ze (E) (6/9/85)</t>
  </si>
  <si>
    <t>–50,3 a –23,5</t>
  </si>
  <si>
    <t>R-446A</t>
  </si>
  <si>
    <t>R-32/1234ze (e)/600 68/29/3</t>
  </si>
  <si>
    <t>CH2F2+CF3CH=CHF+C4H10 (11)</t>
  </si>
  <si>
    <t>–49,4 a –44,0</t>
  </si>
  <si>
    <t>R-447A</t>
  </si>
  <si>
    <t>R-32/125/1234ze€ (68/3,5/28,5)</t>
  </si>
  <si>
    <t>CH2F2+CF3CHF2+ CF3CH=CHF (11)</t>
  </si>
  <si>
    <t>–49,3 a –44,2</t>
  </si>
  <si>
    <t>R-451A</t>
  </si>
  <si>
    <t>R-1234yf/134a (89,8/10,2)</t>
  </si>
  <si>
    <t>–30,8 a –30,5</t>
  </si>
  <si>
    <t>R-451B</t>
  </si>
  <si>
    <t>R-1234yf/134a (88,8/11,2)</t>
  </si>
  <si>
    <t>CF3CF=CH2+ CF3CH2F (11)</t>
  </si>
  <si>
    <t>–31,0 a –30,6</t>
  </si>
  <si>
    <t>R-452B</t>
  </si>
  <si>
    <t>R-32/125/1234yf (67.0/7.0/26.0)</t>
  </si>
  <si>
    <t>63.5</t>
  </si>
  <si>
    <t>0.062</t>
  </si>
  <si>
    <t>–51,0 a –50,3</t>
  </si>
  <si>
    <t>0.310</t>
  </si>
  <si>
    <t>R-454A</t>
  </si>
  <si>
    <t>R-32/1234yf (35.0/65.0)</t>
  </si>
  <si>
    <t>CH2F2+CF3CFCH2 (11)</t>
  </si>
  <si>
    <t>80.5</t>
  </si>
  <si>
    <t>–48,4 a –41,6</t>
  </si>
  <si>
    <t>0.278</t>
  </si>
  <si>
    <t>R-454B</t>
  </si>
  <si>
    <t>R-32/1234yf (68.9/31.1)</t>
  </si>
  <si>
    <t>62.6</t>
  </si>
  <si>
    <t>–50,9 a –50,0</t>
  </si>
  <si>
    <t>R-454C</t>
  </si>
  <si>
    <t>R-32/1234yf (21.5/78.5)</t>
  </si>
  <si>
    <t>0.059</t>
  </si>
  <si>
    <t>–46,0 a –37,8</t>
  </si>
  <si>
    <t>R-455A</t>
  </si>
  <si>
    <t>R-744/R-32/R-1234yf (3.0/21.5 /75.5)</t>
  </si>
  <si>
    <t>CO2+CH2F2+CF3CF=CH2 (11)</t>
  </si>
  <si>
    <t>0.105</t>
  </si>
  <si>
    <t>–51,6 a –39,1</t>
  </si>
  <si>
    <t>A2</t>
  </si>
  <si>
    <t>R-141b</t>
  </si>
  <si>
    <t>1,1-Dicloro-1-fluoretano</t>
  </si>
  <si>
    <t>CCl2FCH3 (10;11)</t>
  </si>
  <si>
    <t>0.053</t>
  </si>
  <si>
    <t>R-142b</t>
  </si>
  <si>
    <t>1-Cloro-1,1-difluoretano</t>
  </si>
  <si>
    <t>CClF2CH3 (10;11)</t>
  </si>
  <si>
    <t>–10</t>
  </si>
  <si>
    <t>R-152a</t>
  </si>
  <si>
    <t>1,1-Difluoretano</t>
  </si>
  <si>
    <t>0.027</t>
  </si>
  <si>
    <t>–25</t>
  </si>
  <si>
    <t>R-160</t>
  </si>
  <si>
    <t>0.019</t>
  </si>
  <si>
    <t>R-512A</t>
  </si>
  <si>
    <t>R-134a/152a (5/95)</t>
  </si>
  <si>
    <t>–24</t>
  </si>
  <si>
    <t>A1/A2</t>
  </si>
  <si>
    <t>R-406A</t>
  </si>
  <si>
    <t>R-22/600a/142b (55/4/41)</t>
  </si>
  <si>
    <t>CHClF2+ CH(CH3)3+ CClF2CH3 (10;11)</t>
  </si>
  <si>
    <t>89.9</t>
  </si>
  <si>
    <t>–32,7 a –23,5</t>
  </si>
  <si>
    <t>R-411A</t>
  </si>
  <si>
    <t>R-1270/22/152a (1,5/87,5/11,0)</t>
  </si>
  <si>
    <t>C3H6+CHClF2+ CHF2CH3 (10;11)</t>
  </si>
  <si>
    <t>–39,6 a –37,1</t>
  </si>
  <si>
    <t>R-411B</t>
  </si>
  <si>
    <t>R-1270/22/152a (3/94/3)</t>
  </si>
  <si>
    <t>–41,6 a –40,2</t>
  </si>
  <si>
    <t>R-412A</t>
  </si>
  <si>
    <t>R-22/218/142b (70/5/25)</t>
  </si>
  <si>
    <t>CHClF2+C3F8+CCIF2CH3 (10;11)</t>
  </si>
  <si>
    <t>–36,5 a –28,9</t>
  </si>
  <si>
    <t>R-413A</t>
  </si>
  <si>
    <t>R-218/134a/600a..(9/88/3)</t>
  </si>
  <si>
    <t>C3F8+ CF3CH2F+ CH(CH3)3 (11)</t>
  </si>
  <si>
    <t>–29,4 a –27,4</t>
  </si>
  <si>
    <t>R-415A</t>
  </si>
  <si>
    <t>R-22/152a (82/18)</t>
  </si>
  <si>
    <t>CHClF2+CHF2CH3 (10;11)</t>
  </si>
  <si>
    <t>–37,5 a –34,7</t>
  </si>
  <si>
    <t>R-415B</t>
  </si>
  <si>
    <t>R-22/152a.(25/75)</t>
  </si>
  <si>
    <t>–23,4 a –21,8</t>
  </si>
  <si>
    <t>R-418A</t>
  </si>
  <si>
    <t>R-290/22/152a 81,5/96,0/2,5)</t>
  </si>
  <si>
    <t>C3H8+CHClF2+CHF2CH3 (10;11)</t>
  </si>
  <si>
    <t>–41,7 a –40,0</t>
  </si>
  <si>
    <t>R-419A</t>
  </si>
  <si>
    <t>R-125/134a/E170 (77/19/4)</t>
  </si>
  <si>
    <t>CF3CHF2+CF3CH2F+CH3OCH3 (11)</t>
  </si>
  <si>
    <t>–42,6 a –35,9</t>
  </si>
  <si>
    <t>R-419B</t>
  </si>
  <si>
    <t>R-125/134a/E170 (48,5/48,0/3,5)</t>
  </si>
  <si>
    <t>–37,4 a –31,5</t>
  </si>
  <si>
    <t>R-439A</t>
  </si>
  <si>
    <t>R-32/125/600a (50/47/3)</t>
  </si>
  <si>
    <t>CH2F2+CF3CHF2+CH(CH3)3 (11)</t>
  </si>
  <si>
    <t>–52,0 a –51,8</t>
  </si>
  <si>
    <t>R-440A</t>
  </si>
  <si>
    <t>R-290/134a/152a (0,6/1,6/97,8)</t>
  </si>
  <si>
    <t>R-125/134a/152a/E170.(67/15/15/3)</t>
  </si>
  <si>
    <t>–38,1 a –37,8</t>
  </si>
  <si>
    <t>B1</t>
  </si>
  <si>
    <t>R-21</t>
  </si>
  <si>
    <t>Diclorofluormetano</t>
  </si>
  <si>
    <t>CHCl2F (10)</t>
  </si>
  <si>
    <t>R-123</t>
  </si>
  <si>
    <t>2,2-Dicloro-1,1,1-trifluoretano</t>
  </si>
  <si>
    <t>CF3CHCl2 (10)</t>
  </si>
  <si>
    <t>R-245fa</t>
  </si>
  <si>
    <t>1,1,1,3,3 Pentafluor propano</t>
  </si>
  <si>
    <t>CF3CH2CHF2 (11)</t>
  </si>
  <si>
    <t>R-764</t>
  </si>
  <si>
    <t>Dióxido de azufre</t>
  </si>
  <si>
    <t>SO2</t>
  </si>
  <si>
    <t>0,0002 6</t>
  </si>
  <si>
    <t>B2L</t>
  </si>
  <si>
    <t>R-717</t>
  </si>
  <si>
    <t>Amoníaco</t>
  </si>
  <si>
    <t>NH3</t>
  </si>
  <si>
    <t>–33</t>
  </si>
  <si>
    <t>B2</t>
  </si>
  <si>
    <t>R-30</t>
  </si>
  <si>
    <t>Diclorometano (cloruro de etileno)</t>
  </si>
  <si>
    <t>CH2Cl2 (10)</t>
  </si>
  <si>
    <t>R-40</t>
  </si>
  <si>
    <t>Cloruro de metilo</t>
  </si>
  <si>
    <t>CH3Cl (10)</t>
  </si>
  <si>
    <t>R-611</t>
  </si>
  <si>
    <t>Formiato de metilo</t>
  </si>
  <si>
    <t>C2H4O2</t>
  </si>
  <si>
    <t>R-1130</t>
  </si>
  <si>
    <t>1,2-Dicloroetileno</t>
  </si>
  <si>
    <t>CHCl = CHCl</t>
  </si>
  <si>
    <t>A3</t>
  </si>
  <si>
    <t>R-50</t>
  </si>
  <si>
    <t>Metano</t>
  </si>
  <si>
    <t>CH4</t>
  </si>
  <si>
    <t>0.654</t>
  </si>
  <si>
    <t>–161</t>
  </si>
  <si>
    <t>R-170</t>
  </si>
  <si>
    <t>Etano</t>
  </si>
  <si>
    <t>C2H6</t>
  </si>
  <si>
    <t>–89</t>
  </si>
  <si>
    <t>R-290</t>
  </si>
  <si>
    <t>Propano</t>
  </si>
  <si>
    <t>C3H8</t>
  </si>
  <si>
    <t>–42</t>
  </si>
  <si>
    <t>R-600</t>
  </si>
  <si>
    <t>Butano</t>
  </si>
  <si>
    <t>C4H10</t>
  </si>
  <si>
    <t>R-600a</t>
  </si>
  <si>
    <t>2 Metilpropano (Isobutano)</t>
  </si>
  <si>
    <t>CH(CH3)3</t>
  </si>
  <si>
    <t>R-601</t>
  </si>
  <si>
    <t>Pentano</t>
  </si>
  <si>
    <t>C5H10</t>
  </si>
  <si>
    <t>R-601a</t>
  </si>
  <si>
    <t>2 Metilbutano (Isopentano)</t>
  </si>
  <si>
    <t>(CH3)2CHCH2CH3</t>
  </si>
  <si>
    <t>R-1150</t>
  </si>
  <si>
    <t>Etileno</t>
  </si>
  <si>
    <t>CH2 = CH2</t>
  </si>
  <si>
    <t>1.15</t>
  </si>
  <si>
    <t>–104</t>
  </si>
  <si>
    <t>R-1270</t>
  </si>
  <si>
    <t>Propileno</t>
  </si>
  <si>
    <t>CH3CH=CH2</t>
  </si>
  <si>
    <t>–48</t>
  </si>
  <si>
    <t>R-E170</t>
  </si>
  <si>
    <t>Dimetileter</t>
  </si>
  <si>
    <t>CH3OCH3</t>
  </si>
  <si>
    <t>R-510A</t>
  </si>
  <si>
    <t>R-E170/600a (88/12)</t>
  </si>
  <si>
    <t>C2H6O+CH(CH3)3</t>
  </si>
  <si>
    <t>–25,1</t>
  </si>
  <si>
    <t>R-511A</t>
  </si>
  <si>
    <t>R-290/E170 (95/5)</t>
  </si>
  <si>
    <t>CH3H8+C2H6O</t>
  </si>
  <si>
    <t>A3/A3</t>
  </si>
  <si>
    <t>R-429A</t>
  </si>
  <si>
    <t>R-E170/152a/600a (60/10/30)</t>
  </si>
  <si>
    <t>–26,0 a –25,6</t>
  </si>
  <si>
    <t>R-430A</t>
  </si>
  <si>
    <t>R-152a/600a (76/24)</t>
  </si>
  <si>
    <t>–27,6 a –27,6</t>
  </si>
  <si>
    <t>R-431A</t>
  </si>
  <si>
    <t>R-290/152a.(71/29)</t>
  </si>
  <si>
    <t>–43,1 a –43,1</t>
  </si>
  <si>
    <t>R-432A</t>
  </si>
  <si>
    <t>R-1270/E170.(80/20)</t>
  </si>
  <si>
    <t>C3H6+C2H6O</t>
  </si>
  <si>
    <t>–46,6 a –45,6</t>
  </si>
  <si>
    <t>R-333A</t>
  </si>
  <si>
    <t>R-1270/290.(30/70)</t>
  </si>
  <si>
    <t>C3H6+ CH3H8</t>
  </si>
  <si>
    <t>–44,6 a –44,2</t>
  </si>
  <si>
    <t>R-433C</t>
  </si>
  <si>
    <t>R-1270/290 (25/75)</t>
  </si>
  <si>
    <t>–44,3 a –43,9</t>
  </si>
  <si>
    <t>R-435A</t>
  </si>
  <si>
    <t>R-E170/152a (80/20)</t>
  </si>
  <si>
    <t>–26,1 a –25,9</t>
  </si>
  <si>
    <t>R-436A</t>
  </si>
  <si>
    <t>R-290/600a (56/44)</t>
  </si>
  <si>
    <t>CH3H8+CH(CH3)3</t>
  </si>
  <si>
    <t>–34,3 a –26,2</t>
  </si>
  <si>
    <t>R-436B</t>
  </si>
  <si>
    <t>R-290/600a (52/48)</t>
  </si>
  <si>
    <t>–33,4 a –25,0</t>
  </si>
  <si>
    <t>R-441A</t>
  </si>
  <si>
    <t>R-170/290/600a/600 (3,1/54,8/6,0/36,1)</t>
  </si>
  <si>
    <t>C2H6+C3H8+CH(CH3)3+C4H10</t>
  </si>
  <si>
    <t>–41,9 a –20,4</t>
  </si>
  <si>
    <t>R-443A</t>
  </si>
  <si>
    <t>R-1270/290/600a (55/40/5)</t>
  </si>
  <si>
    <t>CH3H6+C3H8+CH(CH3)3</t>
  </si>
  <si>
    <t>–44,8 a –41,2</t>
  </si>
  <si>
    <t>R32/1270/E170 (21/75/4)</t>
  </si>
  <si>
    <t>–62,16 a –50,23</t>
  </si>
  <si>
    <t>ATEL / ODL (kg/m3)</t>
  </si>
  <si>
    <t>Temp. Autoignición °C</t>
  </si>
  <si>
    <t>Potencial de calentamiento atmosférico PCA 100</t>
  </si>
  <si>
    <t>Potencial agotamiento de la capa de ozono PAO</t>
  </si>
  <si>
    <t>Clasif. según: REP</t>
  </si>
  <si>
    <t>–25,5 a –24,3</t>
  </si>
  <si>
    <t>R-1234ze / R227ea (91,1 / 8,9)</t>
  </si>
  <si>
    <t>– 38,3 ºC a – 30,5 ºC</t>
  </si>
  <si>
    <t>R1132a/R23/R744/R125 (20/10/60/10 %)</t>
  </si>
  <si>
    <t>– 87,6ºC  / – 83,0 ºC</t>
  </si>
  <si>
    <t>R-1234ze(E)/ R227ea/ R1336mzz€ (78.7/4.3/17)</t>
  </si>
  <si>
    <t>–39,96 /  – 34,83</t>
  </si>
  <si>
    <t>40 Ton CO2 eq en kg de refrigerante</t>
  </si>
  <si>
    <t xml:space="preserve"> 5 ton CO2 eq en kg de refrigerante</t>
  </si>
  <si>
    <t>R-422D</t>
  </si>
  <si>
    <t>REFRIGERANTE A COMPROBAR</t>
  </si>
  <si>
    <t>PCA</t>
  </si>
  <si>
    <t>PAO</t>
  </si>
  <si>
    <t>R-513A</t>
  </si>
  <si>
    <t>R-1234ze(E)</t>
  </si>
  <si>
    <r>
      <t>R</t>
    </r>
    <r>
      <rPr>
        <vertAlign val="superscript"/>
        <sz val="9"/>
        <color rgb="FF000000"/>
        <rFont val="Arial Narrow"/>
        <family val="2"/>
      </rPr>
      <t xml:space="preserve">(1) </t>
    </r>
    <r>
      <rPr>
        <sz val="9"/>
        <color rgb="FF000000"/>
        <rFont val="Arial Narrow"/>
        <family val="2"/>
      </rPr>
      <t>contiene R-22</t>
    </r>
  </si>
  <si>
    <r>
      <t>R</t>
    </r>
    <r>
      <rPr>
        <vertAlign val="superscript"/>
        <sz val="9"/>
        <color rgb="FF000000"/>
        <rFont val="Arial Narrow"/>
        <family val="2"/>
      </rPr>
      <t>(1)</t>
    </r>
    <r>
      <rPr>
        <sz val="9"/>
        <color rgb="FF000000"/>
        <rFont val="Arial Narrow"/>
        <family val="2"/>
      </rPr>
      <t xml:space="preserve"> contiene R-125</t>
    </r>
  </si>
  <si>
    <t>R(1) contiene R-125 y R-134A</t>
  </si>
  <si>
    <t xml:space="preserve">R(1) MEZCLA CUATERNARIA </t>
  </si>
  <si>
    <t>R(1) - MEZCLA CUATERNARIA CON CO2</t>
  </si>
  <si>
    <t>R(1) MEZCLA CUATERNARIA CON CO2 BIS</t>
  </si>
  <si>
    <t>R(1) - CONTIENE R-32 Y REF ORGÁNCIOS</t>
  </si>
  <si>
    <t>R(1) - CONTIENE R-152A</t>
  </si>
  <si>
    <r>
      <t>R</t>
    </r>
    <r>
      <rPr>
        <vertAlign val="superscript"/>
        <sz val="9"/>
        <color rgb="FF000000"/>
        <rFont val="Arial Narrow"/>
        <family val="2"/>
      </rPr>
      <t>(1)</t>
    </r>
    <r>
      <rPr>
        <sz val="9"/>
        <color rgb="FF000000"/>
        <rFont val="Arial Narrow"/>
        <family val="2"/>
      </rPr>
      <t xml:space="preserve"> - CONTIENE R-600A </t>
    </r>
  </si>
  <si>
    <t>Mantenimiento</t>
  </si>
  <si>
    <t>Frigoríficos y congeladores domésticos</t>
  </si>
  <si>
    <t>COMPROBADOR DE RESTRICCIONES POR REFRIGERANTE</t>
  </si>
  <si>
    <t>-</t>
  </si>
  <si>
    <t>Gas fluorado?</t>
  </si>
  <si>
    <t>CF4(11)</t>
  </si>
  <si>
    <t>CF3CHF2(11)</t>
  </si>
  <si>
    <r>
      <t>CF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-CHF</t>
    </r>
    <r>
      <rPr>
        <vertAlign val="subscript"/>
        <sz val="9"/>
        <color rgb="FF000000"/>
        <rFont val="Arial Narrow"/>
        <family val="2"/>
      </rPr>
      <t>2</t>
    </r>
    <r>
      <rPr>
        <sz val="9"/>
        <color rgb="FF000000"/>
        <rFont val="Arial Narrow"/>
        <family val="2"/>
      </rPr>
      <t>+CF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-CH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+CF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-CH</t>
    </r>
    <r>
      <rPr>
        <vertAlign val="subscript"/>
        <sz val="9"/>
        <color rgb="FF000000"/>
        <rFont val="Arial Narrow"/>
        <family val="2"/>
      </rPr>
      <t>2</t>
    </r>
    <r>
      <rPr>
        <sz val="9"/>
        <color rgb="FF000000"/>
        <rFont val="Arial Narrow"/>
        <family val="2"/>
      </rPr>
      <t>F+CH(CH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)</t>
    </r>
    <r>
      <rPr>
        <vertAlign val="super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 xml:space="preserve"> (11)</t>
    </r>
  </si>
  <si>
    <t>CF3CH=CHF+CF3CHFCF3+CF3CH=CHCF3 (11)</t>
  </si>
  <si>
    <t>CF2=CH2/CHF3/CO2/CHF2CF3 (11)</t>
  </si>
  <si>
    <r>
      <t>O2+CH2F2+CHF2CF3+ CH2FCF3+CHFCHCF3+CF3CHFCF</t>
    </r>
    <r>
      <rPr>
        <vertAlign val="super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 xml:space="preserve"> (11)</t>
    </r>
  </si>
  <si>
    <t>CF3CF=CHF / CF3CHFCF3 (11)</t>
  </si>
  <si>
    <t>CF3CF=CH2 (11)</t>
  </si>
  <si>
    <t>CF3CH=CHF (11)</t>
  </si>
  <si>
    <t>CH2F2+CH3CHF2+ CF3CH=CHF (11)</t>
  </si>
  <si>
    <t>CO2+CF3CH2F+ CF3CH=CHF (11)</t>
  </si>
  <si>
    <t>CHF2CH3 (11)</t>
  </si>
  <si>
    <t>CH3CH2F+CHF2CH3 (11)</t>
  </si>
  <si>
    <t>C3H8+CF3CH2F+CHF2CH3 (11)</t>
  </si>
  <si>
    <t>CF3CHF2+CF3CH2F+CHF2CH3+ CH3OCH3 (11)</t>
  </si>
  <si>
    <t>C2H6O+CHF2CH3+CH(CH3)3 (11)</t>
  </si>
  <si>
    <t>CHF2CH3+CH(CH3)3 (11)</t>
  </si>
  <si>
    <t>CH3H8+ CHF2CH3 (11)</t>
  </si>
  <si>
    <t>C2H6O+C2H4F2 (11)</t>
  </si>
  <si>
    <t>CH2F2+CH3H6+C2H6O (11)</t>
  </si>
  <si>
    <t>Refrigerantes que daña la capa de ozono</t>
  </si>
  <si>
    <t>Gas fluorado</t>
  </si>
  <si>
    <t>CF3CH=CHCl(11)</t>
  </si>
  <si>
    <t>Gas fluorado y que daña la capa de ozono</t>
  </si>
  <si>
    <t>Refrigerante natural</t>
  </si>
  <si>
    <t>Refrigerante orgánico</t>
  </si>
  <si>
    <t xml:space="preserve">Cloruro de etilo </t>
  </si>
  <si>
    <t>CH3CH2Cl (10)</t>
  </si>
  <si>
    <t>Clasificación del refrigerantes</t>
  </si>
  <si>
    <t>Tipo de refrigerante</t>
  </si>
  <si>
    <t xml:space="preserve">Condiciones especiales </t>
  </si>
  <si>
    <t>CONDICIONES DE COMERCIALIZACIÓN Y USO DE GASES FLUORADOS</t>
  </si>
  <si>
    <t>Enfriadoras</t>
  </si>
  <si>
    <t>Frigoríficos y congeladores comerciales</t>
  </si>
  <si>
    <t>Aparatos de refrigeración autónomos excepto enfriadoreas</t>
  </si>
  <si>
    <t>Otros aparatos de refrigeración fija</t>
  </si>
  <si>
    <t>Centrales multicompresor para refrigeración comercial con potencias superiores a 40 kW</t>
  </si>
  <si>
    <t>Aparatos de A/C y bombas de calor monobloque</t>
  </si>
  <si>
    <t>Aparatos de A/C y bombas de calor partidas</t>
  </si>
  <si>
    <t>Instalación</t>
  </si>
  <si>
    <t>Aparatos de refrigeración</t>
  </si>
  <si>
    <t>Aparatos de climatización</t>
  </si>
  <si>
    <t>Estado del gas</t>
  </si>
  <si>
    <t>Virgen</t>
  </si>
  <si>
    <t>Reciclado/Regenerado</t>
  </si>
  <si>
    <t>MANTENIMIENTO APARATOS CLIMATIZACIÓN</t>
  </si>
  <si>
    <t>MANTENIMIENTO APARATOS REFRIGERACIÓN</t>
  </si>
  <si>
    <t>01/01/2025 -- 01/01/2030</t>
  </si>
  <si>
    <t>01/01/2025-01/01/2032</t>
  </si>
  <si>
    <t>01/01/2032 - EN ADELANTE</t>
  </si>
  <si>
    <t>01/01/2026 -- 01/01/2032</t>
  </si>
  <si>
    <t>01/01/2032 -- EN ADELANTE</t>
  </si>
  <si>
    <t>40 ton CO2 en kg de gas</t>
  </si>
  <si>
    <t>Aparatos de &lt; 40 ton CO2</t>
  </si>
  <si>
    <t>Reciclado/regenerado</t>
  </si>
  <si>
    <t>PCA &gt; 2500</t>
  </si>
  <si>
    <t>EXCEPTO EQUIPO MILITAR, Y EQUIPO PARA ENFRIAR POR DEBAJO DE -50 ⁰C</t>
  </si>
  <si>
    <t>EXCEPTO EQUIPO MILITAR, Y EQUIPO PARA ENFRIAR POR DEBAJO DE -50 ⁰C, EQUIPOS DE CENTRALES NUCLEARES Y ENFIRADORAS</t>
  </si>
  <si>
    <t>PCA &gt; 750</t>
  </si>
  <si>
    <t>FRIGORÍFICOS Y CONGELADORES</t>
  </si>
  <si>
    <t>DOMÉSTICOS</t>
  </si>
  <si>
    <t>COMERCIALES</t>
  </si>
  <si>
    <t>Equipos de refrigeración autónomos</t>
  </si>
  <si>
    <t>Aparatos de refrigeración acorde a punto 5) anexo IV Reglamento</t>
  </si>
  <si>
    <t>Sistemas de refrigeración centralizada multicompresor de uso comercial y potencias iguales o superiores a 40 kW</t>
  </si>
  <si>
    <t>Potencia hasta 12 kW</t>
  </si>
  <si>
    <t>Potencia superior a 12 kW</t>
  </si>
  <si>
    <t>MONOBLOQUE</t>
  </si>
  <si>
    <t>SISTEMA PARTIDO</t>
  </si>
  <si>
    <t>Hasta 12 kW</t>
  </si>
  <si>
    <t>Entre 12 kW y 50 kW</t>
  </si>
  <si>
    <t>OTROS SISTEMAS MONOBLOQUE</t>
  </si>
  <si>
    <t xml:space="preserve">Por encima de 12 kW </t>
  </si>
  <si>
    <t>Aire-Aire</t>
  </si>
  <si>
    <t>Aire-Agua</t>
  </si>
  <si>
    <t>APARATOS DE A/C Y BOMBAS DE CALOR DE</t>
  </si>
  <si>
    <t>PUESTA EN SERVICIO - NUEVA INSTALACIÓN</t>
  </si>
  <si>
    <t>Aparatos de refrigeración autónomos acorde a punto 4) anexo IV Reglamento</t>
  </si>
  <si>
    <t>SISTEMAS DE LUCHA CONTRA INCENDIOS</t>
  </si>
  <si>
    <t>Tipo de Gas fluorado</t>
  </si>
  <si>
    <t>tipo de GF</t>
  </si>
  <si>
    <t>PFC</t>
  </si>
  <si>
    <t>HFC</t>
  </si>
  <si>
    <t>ANEXO II</t>
  </si>
  <si>
    <t>PFC/HFC</t>
  </si>
  <si>
    <t>HFC/ANEXO II</t>
  </si>
  <si>
    <t>NO SUJETO A RESTRICCIONES MEDIOAMBIENTALES</t>
  </si>
  <si>
    <t>SUJETO A REGLAMENTO SUSTANCIAS DAÑAN CAPA DE OZONO</t>
  </si>
  <si>
    <t>SISTEMAS CON HASTA 3 KG</t>
  </si>
  <si>
    <t>Aparatos de ≥ 40 ton CO2</t>
  </si>
  <si>
    <t>Aparatos de ≥  40 ton CO2</t>
  </si>
  <si>
    <t>11/03/2024 -- 01/01/2026</t>
  </si>
  <si>
    <t>11/03/2024 -- 01/01/2025</t>
  </si>
  <si>
    <t>11/03/2024 -- 01/01/2027</t>
  </si>
  <si>
    <t>01/01/2027 -- 01/01/2032</t>
  </si>
  <si>
    <t>01/01/2027 -- EN ADELANTE</t>
  </si>
  <si>
    <t>11/03/2024 -- 01/01/2030</t>
  </si>
  <si>
    <t>01/01/2030 -- EN ADELANTE</t>
  </si>
  <si>
    <t>11/03/2024 -- 01/01/2029</t>
  </si>
  <si>
    <t>11/03/2024-01/01/2029</t>
  </si>
  <si>
    <t>01/01/2029 -- 01/01/2033</t>
  </si>
  <si>
    <t>11/03/2024 --  01/01/2027</t>
  </si>
  <si>
    <t>01/01/2025 -- EN ADELANTE</t>
  </si>
  <si>
    <t>01/01/2035 -- EN ADELANTE</t>
  </si>
  <si>
    <t xml:space="preserve">01/01/2026 - EN ADELANTE </t>
  </si>
  <si>
    <t>01/01/2032 -- EN ADELENTE</t>
  </si>
  <si>
    <t>DESDE 11/03/2024</t>
  </si>
  <si>
    <t xml:space="preserve"> 01/01/2029 -- 01/01/2035</t>
  </si>
  <si>
    <t>01/01/2027 -- 01/01/2035</t>
  </si>
  <si>
    <t>01/01/2025 -- 01/01/2035</t>
  </si>
  <si>
    <t>01/01/2025 - EN ADELANTE</t>
  </si>
  <si>
    <t>01/01/2033 -- EN ADELANTE</t>
  </si>
  <si>
    <t>HECHO POR EL DEPARTAMENTO TÉCNICO DE CONAIF</t>
  </si>
  <si>
    <t>INSTRUCCIONES DE MANEJO DE LA HOJA</t>
  </si>
  <si>
    <r>
      <rPr>
        <b/>
        <sz val="22"/>
        <color theme="1"/>
        <rFont val="Arial"/>
        <family val="2"/>
      </rPr>
      <t>NOTA:</t>
    </r>
    <r>
      <rPr>
        <sz val="22"/>
        <color theme="1"/>
        <rFont val="Arial"/>
        <family val="2"/>
      </rPr>
      <t xml:space="preserve"> EN AMARILLO SE MUESTRAN LAS EXCEPCIONES PARA MANTENIMIENTO DE EQUIPOS SEGÚN EL PCA Y SU APLICACIÓN (CELDA F36 Y J36).</t>
    </r>
  </si>
  <si>
    <r>
      <rPr>
        <b/>
        <sz val="22"/>
        <color theme="1"/>
        <rFont val="Arial"/>
        <family val="2"/>
      </rPr>
      <t>PASO 2:</t>
    </r>
    <r>
      <rPr>
        <sz val="22"/>
        <color theme="1"/>
        <rFont val="Arial"/>
        <family val="2"/>
      </rPr>
      <t xml:space="preserve"> EL OTRO DATO A SELECCIONAR ES LA CELDA C10, DONDE SE DEBE INDICAR SI EL GAS ES VIRGEN O RECICLADO/REGENERADO</t>
    </r>
  </si>
  <si>
    <r>
      <rPr>
        <b/>
        <sz val="22"/>
        <color theme="1"/>
        <rFont val="Arial"/>
        <family val="2"/>
      </rPr>
      <t>PASO 1</t>
    </r>
    <r>
      <rPr>
        <sz val="22"/>
        <color theme="1"/>
        <rFont val="Arial"/>
        <family val="2"/>
      </rPr>
      <t>: ÚNICAMENTE SE DEBE SELECCIONAR EL GAS REFRIGERANTE A COMPROBAR MEDIANTE EL USO DE LA LISTA DESPLEGABLE DE LA CELDA A13. SE PUEDE INTRODUCIR A MANO, AUNQUE DEBE RESPETARSE LA ESCRITURA (R-XXX). EN CASO DE NO SER ADMITIDO SE LANZARÁ UN MENSAJE DE ERROR.</t>
    </r>
  </si>
  <si>
    <r>
      <rPr>
        <b/>
        <sz val="24"/>
        <color theme="1"/>
        <rFont val="Arial"/>
        <family val="2"/>
      </rPr>
      <t xml:space="preserve">ADVERTENCIA: </t>
    </r>
    <r>
      <rPr>
        <sz val="24"/>
        <color theme="1"/>
        <rFont val="Arial"/>
        <family val="2"/>
      </rPr>
      <t>EL PROGRAMA TIENE UNOS LÍMITES PREDEFINIDOS, FUERA DE LOS MISMOS ES POSIBLE QUE LOS RESULTADOS NO SEAN CORRECTOS. EJEMPLO (NO INDICAR QUE USO UN R-C318 PARA UN SPLIT, DADO QUE ES POSIBLE QUE NO ESTÉ NI CONTEMPLADO EL CASO Y CONDUZCA A RESULTADO NO COHERENTES.</t>
    </r>
  </si>
  <si>
    <t>COMPROBADOR DE CONTROL DE FUGAS</t>
  </si>
  <si>
    <t>¿Sellado herméticamente?</t>
  </si>
  <si>
    <t>50 ton CO2 en kg de gas</t>
  </si>
  <si>
    <t xml:space="preserve">5 ton CO2 eq en kg de gas </t>
  </si>
  <si>
    <t>500 ton CO2 en kg de gas</t>
  </si>
  <si>
    <t>Tipo de aparato</t>
  </si>
  <si>
    <t>Carga del sistema/aparato</t>
  </si>
  <si>
    <t>Sistema de detección de fugas</t>
  </si>
  <si>
    <t>Control de fugas</t>
  </si>
  <si>
    <t>Expresado en kg</t>
  </si>
  <si>
    <t>Expresado en ton CO2</t>
  </si>
  <si>
    <t>Sellado herméticamente</t>
  </si>
  <si>
    <t>Sí</t>
  </si>
  <si>
    <t>No</t>
  </si>
  <si>
    <t>Periodicidad del control de fugas</t>
  </si>
  <si>
    <t>¿Aparato instalado en edificio residencial?</t>
  </si>
  <si>
    <t>Edificio residencial</t>
  </si>
  <si>
    <t>Aparatos de aire acondicionado</t>
  </si>
  <si>
    <t>Bombas de calor</t>
  </si>
  <si>
    <t>Aparatos de protección contra incendios</t>
  </si>
  <si>
    <t>Ciclos Rankine de fluido orgánico</t>
  </si>
  <si>
    <t>Aparamenta eléctrica</t>
  </si>
  <si>
    <r>
      <rPr>
        <b/>
        <sz val="22"/>
        <color theme="1"/>
        <rFont val="Arial"/>
        <family val="2"/>
      </rPr>
      <t>PASO 1</t>
    </r>
    <r>
      <rPr>
        <sz val="22"/>
        <color theme="1"/>
        <rFont val="Arial"/>
        <family val="2"/>
      </rPr>
      <t xml:space="preserve">:  SE DEBE SELECCIONAR EL GAS REFRIGERANTE A COMPROBAR MEDIANTE EL USO DE LA LISTA DESPLEGABLE DE LA CELDA A13, EL TIPO DE APARATO (CELDA A17), SI ESTÁ O NO SELLADO HERMÉTICAMENTE (CELDA D17), SI ESTÁ INSTALADO EN UN EDIFICIO RESIDENCIAL (F17) Y LA CARGA DEL SISTEMA (F14) Y SI DISPONE DE CONTROL DE FUGAS (I13).
</t>
    </r>
  </si>
  <si>
    <r>
      <rPr>
        <b/>
        <sz val="22"/>
        <color theme="1"/>
        <rFont val="Arial"/>
        <family val="2"/>
      </rPr>
      <t>PASO 2:</t>
    </r>
    <r>
      <rPr>
        <sz val="22"/>
        <color theme="1"/>
        <rFont val="Arial"/>
        <family val="2"/>
      </rPr>
      <t xml:space="preserve"> LAS CELDAS DONDE SE INTRODUCEN O SELECCIONAN DATOS ESTÁN EN FONDO AZUL Y LETRAS EN BLANCO</t>
    </r>
  </si>
  <si>
    <t>R-1234YF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</si>
</sst>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b/>
      <sz val="9"/>
      <color rgb="FF333333"/>
      <name val="Arial Narrow"/>
      <family val="2"/>
    </font>
    <font>
      <b/>
      <vertAlign val="superscript"/>
      <sz val="9"/>
      <color rgb="FF333333"/>
      <name val="Arial Narrow"/>
      <family val="2"/>
    </font>
    <font>
      <sz val="9"/>
      <color rgb="FF000000"/>
      <name val="Arial Narrow"/>
      <family val="2"/>
    </font>
    <font>
      <vertAlign val="superscript"/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vertAlign val="subscript"/>
      <sz val="9"/>
      <color rgb="FF000000"/>
      <name val="Arial Narrow"/>
      <family val="2"/>
    </font>
    <font>
      <sz val="8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 Narrow"/>
      <family val="2"/>
    </font>
    <font>
      <sz val="28"/>
      <color theme="1"/>
      <name val="Arial"/>
      <family val="2"/>
    </font>
    <font>
      <b/>
      <sz val="24"/>
      <color theme="0"/>
      <name val="Arial"/>
      <family val="2"/>
    </font>
    <font>
      <b/>
      <sz val="28"/>
      <color theme="0"/>
      <name val="Arial"/>
      <family val="2"/>
    </font>
    <font>
      <sz val="11"/>
      <color theme="0"/>
      <name val="Calibri"/>
      <family val="2"/>
      <scheme val="minor"/>
    </font>
    <font>
      <sz val="22"/>
      <color theme="1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b/>
      <sz val="24"/>
      <color theme="1"/>
      <name val="Arial"/>
      <family val="2"/>
    </font>
    <font>
      <b/>
      <sz val="2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7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 style="medium">
        <color rgb="FFA0B0C0"/>
      </left>
      <right/>
      <top style="medium">
        <color rgb="FFA0B0C0"/>
      </top>
      <bottom/>
      <diagonal/>
    </border>
    <border>
      <left/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/>
      <top/>
      <bottom style="medium">
        <color rgb="FFA0B0C0"/>
      </bottom>
      <diagonal/>
    </border>
    <border>
      <left/>
      <right style="medium">
        <color rgb="FFA0B0C0"/>
      </right>
      <top/>
      <bottom style="medium">
        <color rgb="FFA0B0C0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 style="medium">
        <color rgb="FFA0B0C0"/>
      </right>
      <top/>
      <bottom style="medium">
        <color rgb="FFA0B0C0"/>
      </bottom>
      <diagonal/>
    </border>
    <border>
      <left style="medium">
        <color rgb="FFA0B0C0"/>
      </left>
      <right style="medium">
        <color rgb="FFA0B0C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indexed="64"/>
      </right>
      <top/>
      <bottom style="thick">
        <color theme="0"/>
      </bottom>
      <diagonal/>
    </border>
    <border>
      <left style="medium">
        <color indexed="64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medium">
        <color indexed="64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theme="0"/>
      </left>
      <right/>
      <top style="thick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thick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/>
      <right style="medium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30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2" fontId="0" fillId="0" borderId="0" xfId="0" applyNumberFormat="1"/>
    <xf numFmtId="0" fontId="1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52" xfId="0" applyFont="1" applyFill="1" applyBorder="1" applyAlignment="1">
      <alignment horizontal="center" vertical="center" wrapText="1"/>
    </xf>
    <xf numFmtId="0" fontId="10" fillId="5" borderId="53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38" xfId="0" applyBorder="1"/>
    <xf numFmtId="0" fontId="0" fillId="0" borderId="39" xfId="0" applyBorder="1"/>
    <xf numFmtId="0" fontId="17" fillId="0" borderId="38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39" xfId="0" applyFont="1" applyBorder="1" applyAlignment="1">
      <alignment horizontal="left" wrapText="1"/>
    </xf>
    <xf numFmtId="0" fontId="10" fillId="6" borderId="29" xfId="0" applyFont="1" applyFill="1" applyBorder="1" applyAlignment="1">
      <alignment horizontal="center" vertical="center" wrapText="1"/>
    </xf>
    <xf numFmtId="44" fontId="10" fillId="6" borderId="29" xfId="1" applyFont="1" applyFill="1" applyBorder="1" applyAlignment="1">
      <alignment horizontal="center" vertical="center" wrapText="1"/>
    </xf>
    <xf numFmtId="0" fontId="23" fillId="0" borderId="0" xfId="0" applyFont="1"/>
    <xf numFmtId="0" fontId="19" fillId="0" borderId="36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wrapText="1"/>
    </xf>
    <xf numFmtId="0" fontId="17" fillId="0" borderId="33" xfId="0" applyFont="1" applyBorder="1" applyAlignment="1">
      <alignment horizontal="left" wrapText="1"/>
    </xf>
    <xf numFmtId="0" fontId="17" fillId="0" borderId="37" xfId="0" applyFont="1" applyBorder="1" applyAlignment="1">
      <alignment horizontal="left" wrapText="1"/>
    </xf>
    <xf numFmtId="0" fontId="17" fillId="0" borderId="38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39" xfId="0" applyFont="1" applyBorder="1" applyAlignment="1">
      <alignment horizontal="left" wrapText="1"/>
    </xf>
    <xf numFmtId="0" fontId="17" fillId="0" borderId="40" xfId="0" applyFont="1" applyBorder="1" applyAlignment="1">
      <alignment horizontal="left" wrapText="1"/>
    </xf>
    <xf numFmtId="0" fontId="17" fillId="0" borderId="41" xfId="0" applyFont="1" applyBorder="1" applyAlignment="1">
      <alignment horizontal="left" wrapText="1"/>
    </xf>
    <xf numFmtId="0" fontId="17" fillId="0" borderId="42" xfId="0" applyFont="1" applyBorder="1" applyAlignment="1">
      <alignment horizontal="left" wrapText="1"/>
    </xf>
    <xf numFmtId="0" fontId="18" fillId="0" borderId="36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8" fillId="0" borderId="38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39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 wrapText="1"/>
    </xf>
    <xf numFmtId="0" fontId="18" fillId="0" borderId="42" xfId="0" applyFont="1" applyBorder="1" applyAlignment="1">
      <alignment horizontal="left" vertical="top" wrapText="1"/>
    </xf>
    <xf numFmtId="0" fontId="10" fillId="5" borderId="35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50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51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14" fontId="10" fillId="6" borderId="13" xfId="0" applyNumberFormat="1" applyFont="1" applyFill="1" applyBorder="1" applyAlignment="1">
      <alignment horizontal="center" vertical="center" wrapText="1"/>
    </xf>
    <xf numFmtId="14" fontId="10" fillId="6" borderId="14" xfId="0" applyNumberFormat="1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2" fontId="8" fillId="4" borderId="23" xfId="0" applyNumberFormat="1" applyFont="1" applyFill="1" applyBorder="1" applyAlignment="1">
      <alignment horizontal="center" vertical="center" wrapText="1"/>
    </xf>
    <xf numFmtId="2" fontId="8" fillId="4" borderId="26" xfId="0" applyNumberFormat="1" applyFont="1" applyFill="1" applyBorder="1" applyAlignment="1">
      <alignment horizontal="center" vertical="center" wrapText="1"/>
    </xf>
    <xf numFmtId="2" fontId="8" fillId="4" borderId="19" xfId="0" applyNumberFormat="1" applyFont="1" applyFill="1" applyBorder="1" applyAlignment="1">
      <alignment horizontal="center" vertical="center" wrapText="1"/>
    </xf>
    <xf numFmtId="2" fontId="8" fillId="4" borderId="22" xfId="0" applyNumberFormat="1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24" fillId="7" borderId="43" xfId="0" applyFont="1" applyFill="1" applyBorder="1" applyAlignment="1">
      <alignment horizontal="center" vertical="center" wrapText="1"/>
    </xf>
    <xf numFmtId="0" fontId="24" fillId="7" borderId="4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24" fillId="7" borderId="36" xfId="0" applyFont="1" applyFill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38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24" fillId="7" borderId="39" xfId="0" applyFont="1" applyFill="1" applyBorder="1" applyAlignment="1">
      <alignment horizontal="center" vertical="center" wrapText="1"/>
    </xf>
    <xf numFmtId="0" fontId="24" fillId="7" borderId="40" xfId="0" applyFont="1" applyFill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0" fontId="24" fillId="7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2" fontId="8" fillId="4" borderId="43" xfId="0" applyNumberFormat="1" applyFont="1" applyFill="1" applyBorder="1" applyAlignment="1">
      <alignment horizontal="center" vertical="center" wrapText="1"/>
    </xf>
    <xf numFmtId="2" fontId="8" fillId="4" borderId="45" xfId="0" applyNumberFormat="1" applyFont="1" applyFill="1" applyBorder="1" applyAlignment="1">
      <alignment horizontal="center" vertical="center" wrapText="1"/>
    </xf>
    <xf numFmtId="2" fontId="8" fillId="4" borderId="36" xfId="0" applyNumberFormat="1" applyFont="1" applyFill="1" applyBorder="1" applyAlignment="1">
      <alignment horizontal="center" vertical="center" wrapText="1"/>
    </xf>
    <xf numFmtId="2" fontId="8" fillId="4" borderId="37" xfId="0" applyNumberFormat="1" applyFont="1" applyFill="1" applyBorder="1" applyAlignment="1">
      <alignment horizontal="center" vertical="center" wrapText="1"/>
    </xf>
    <xf numFmtId="2" fontId="8" fillId="4" borderId="40" xfId="0" applyNumberFormat="1" applyFont="1" applyFill="1" applyBorder="1" applyAlignment="1">
      <alignment horizontal="center" vertical="center" wrapText="1"/>
    </xf>
    <xf numFmtId="2" fontId="8" fillId="4" borderId="42" xfId="0" applyNumberFormat="1" applyFont="1" applyFill="1" applyBorder="1" applyAlignment="1">
      <alignment horizontal="center" vertical="center" wrapText="1"/>
    </xf>
    <xf numFmtId="2" fontId="8" fillId="4" borderId="44" xfId="0" applyNumberFormat="1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vertical="center" wrapText="1"/>
    </xf>
    <xf numFmtId="0" fontId="24" fillId="7" borderId="26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/>
        <strike val="0"/>
        <color theme="0"/>
      </font>
      <fill>
        <patternFill>
          <bgColor rgb="FFFFC000"/>
        </patternFill>
      </fill>
    </dxf>
    <dxf>
      <font>
        <b/>
        <i/>
      </font>
      <fill>
        <patternFill>
          <bgColor theme="4" tint="0.79998168889431442"/>
        </patternFill>
      </fill>
    </dxf>
    <dxf>
      <font>
        <b/>
        <i/>
      </font>
      <fill>
        <patternFill>
          <bgColor rgb="FFFFC000"/>
        </patternFill>
      </fill>
    </dxf>
    <dxf>
      <font>
        <b val="0"/>
        <i val="0"/>
      </font>
      <fill>
        <patternFill patternType="mediumGray">
          <bgColor theme="4" tint="0.79998168889431442"/>
        </patternFill>
      </fill>
    </dxf>
    <dxf>
      <font>
        <b/>
        <i val="0"/>
        <u val="none"/>
        <color theme="0" tint="-4.9989318521683403E-2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 val="0"/>
        <i/>
        <color theme="0"/>
      </font>
      <fill>
        <patternFill>
          <bgColor theme="7" tint="-0.24994659260841701"/>
        </patternFill>
      </fill>
    </dxf>
    <dxf>
      <font>
        <b/>
        <i val="0"/>
        <strike val="0"/>
      </font>
      <fill>
        <patternFill>
          <bgColor rgb="FF92D050"/>
        </patternFill>
      </fill>
    </dxf>
    <dxf>
      <font>
        <b val="0"/>
        <i/>
        <color auto="1"/>
      </font>
      <fill>
        <patternFill>
          <bgColor theme="7" tint="0.39994506668294322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fgColor auto="1"/>
          <bgColor rgb="FFFF0000"/>
        </patternFill>
      </fill>
      <border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4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283633</xdr:colOff>
      <xdr:row>0</xdr:row>
      <xdr:rowOff>160867</xdr:rowOff>
    </xdr:from>
    <xdr:to>
      <xdr:col>10</xdr:col>
      <xdr:colOff>1669354</xdr:colOff>
      <xdr:row>5</xdr:row>
      <xdr:rowOff>81137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4212FE-D788-4D32-9A4A-A771548C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2300" y="160867"/>
          <a:ext cx="1385721" cy="860070"/>
        </a:xfrm>
        <a:prstGeom prst="rect">
          <a:avLst/>
        </a:prstGeom>
        <a:noFill/>
        <a:ln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283633</xdr:colOff>
      <xdr:row>0</xdr:row>
      <xdr:rowOff>160867</xdr:rowOff>
    </xdr:from>
    <xdr:to>
      <xdr:col>10</xdr:col>
      <xdr:colOff>1669354</xdr:colOff>
      <xdr:row>5</xdr:row>
      <xdr:rowOff>81137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42C76E-E379-4786-BC7C-D2761AD5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8433" y="160867"/>
          <a:ext cx="1385721" cy="842290"/>
        </a:xfrm>
        <a:prstGeom prst="rect">
          <a:avLst/>
        </a:prstGeom>
        <a:noFill/>
        <a:ln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738046</xdr:colOff>
      <xdr:row>1</xdr:row>
      <xdr:rowOff>9797</xdr:rowOff>
    </xdr:from>
    <xdr:to>
      <xdr:col>11</xdr:col>
      <xdr:colOff>291580</xdr:colOff>
      <xdr:row>4</xdr:row>
      <xdr:rowOff>654282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2E0A7-6A75-4FDB-4EC9-26A518DC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6675" y="303711"/>
          <a:ext cx="2557991" cy="1548000"/>
        </a:xfrm>
        <a:prstGeom prst="rect">
          <a:avLst/>
        </a:prstGeom>
        <a:noFill/>
        <a:ln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738046</xdr:colOff>
      <xdr:row>1</xdr:row>
      <xdr:rowOff>9797</xdr:rowOff>
    </xdr:from>
    <xdr:to>
      <xdr:col>11</xdr:col>
      <xdr:colOff>291580</xdr:colOff>
      <xdr:row>4</xdr:row>
      <xdr:rowOff>654282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2EEECA-068C-4DE8-8D7A-16A4D393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9126" y="299357"/>
          <a:ext cx="2555814" cy="1543645"/>
        </a:xfrm>
        <a:prstGeom prst="rect">
          <a:avLst/>
        </a:prstGeom>
        <a:noFill/>
        <a:ln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334B45-3566-4C3F-9211-81F39E7C9FF7}" name="Instalación" displayName="Instalación" ref="F15:F23" totalsRowShown="0" dataDxfId="16">
  <autoFilter ref="F15:F23" xr:uid="{F7334B45-3566-4C3F-9211-81F39E7C9FF7}"/>
  <tableColumns count="1">
    <tableColumn id="1" xr3:uid="{CA4F0F2E-02BA-4CFE-B858-4C150FAB0F2E}" name="Instalación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A59C5E-2640-4737-AD49-66F0E9FB6CA0}" name="Mantenimiento" displayName="Mantenimiento" ref="G15:G17" totalsRowShown="0">
  <autoFilter ref="G15:G17" xr:uid="{F9A59C5E-2640-4737-AD49-66F0E9FB6CA0}"/>
  <tableColumns count="1">
    <tableColumn id="1" xr3:uid="{CDBA2254-AC86-43CE-9F5F-33B5017072CD}" name="Mantenimien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DB9C-8A7D-4C58-90CD-AEC98DB3A16D}">
  <dimension ref="A1:K42"/>
  <sheetViews>
    <sheetView showGridLines="0" view="pageBreakPreview" topLeftCell="A13" zoomScale="55" zoomScaleNormal="100" zoomScaleSheetLayoutView="55" workbookViewId="0">
      <selection activeCell="A24" sqref="A24:K29"/>
    </sheetView>
  </sheetViews>
  <sheetFormatPr baseColWidth="10" defaultRowHeight="15" x14ac:dyDescent="0.25"/>
  <cols>
    <col min="11" max="11" width="28.140625" customWidth="1"/>
  </cols>
  <sheetData>
    <row r="1" spans="1:11" ht="15.75" thickBot="1" x14ac:dyDescent="0.3"/>
    <row r="2" spans="1:11" x14ac:dyDescent="0.25">
      <c r="A2" s="38" t="s">
        <v>987</v>
      </c>
      <c r="B2" s="39"/>
      <c r="C2" s="39"/>
      <c r="D2" s="39"/>
      <c r="E2" s="39"/>
      <c r="F2" s="39"/>
      <c r="G2" s="39"/>
      <c r="H2" s="39"/>
      <c r="I2" s="39"/>
      <c r="J2" s="39"/>
      <c r="K2" s="40"/>
    </row>
    <row r="3" spans="1:11" ht="14.45" customHeight="1" x14ac:dyDescent="0.25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4.4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4.45" customHeight="1" x14ac:dyDescent="0.25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14.45" customHeight="1" x14ac:dyDescent="0.25">
      <c r="A6" s="41"/>
      <c r="B6" s="42"/>
      <c r="C6" s="42"/>
      <c r="D6" s="42"/>
      <c r="E6" s="42"/>
      <c r="F6" s="42"/>
      <c r="G6" s="42"/>
      <c r="H6" s="42"/>
      <c r="I6" s="42"/>
      <c r="J6" s="42"/>
      <c r="K6" s="43"/>
    </row>
    <row r="7" spans="1:11" x14ac:dyDescent="0.25">
      <c r="A7" s="30"/>
      <c r="K7" s="31"/>
    </row>
    <row r="8" spans="1:11" ht="8.4499999999999993" customHeight="1" thickBot="1" x14ac:dyDescent="0.3">
      <c r="A8" s="30"/>
      <c r="K8" s="31"/>
    </row>
    <row r="9" spans="1:11" x14ac:dyDescent="0.25">
      <c r="A9" s="53" t="s">
        <v>990</v>
      </c>
      <c r="B9" s="54"/>
      <c r="C9" s="54"/>
      <c r="D9" s="54"/>
      <c r="E9" s="54"/>
      <c r="F9" s="54"/>
      <c r="G9" s="54"/>
      <c r="H9" s="54"/>
      <c r="I9" s="54"/>
      <c r="J9" s="54"/>
      <c r="K9" s="55"/>
    </row>
    <row r="10" spans="1:1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8"/>
    </row>
    <row r="11" spans="1:1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1" x14ac:dyDescent="0.25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8"/>
    </row>
    <row r="13" spans="1:1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8"/>
    </row>
    <row r="14" spans="1:11" x14ac:dyDescent="0.25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1" ht="38.450000000000003" customHeight="1" thickBot="1" x14ac:dyDescent="0.3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1"/>
    </row>
    <row r="17" spans="1:11" ht="38.450000000000003" customHeight="1" thickBot="1" x14ac:dyDescent="0.4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4"/>
    </row>
    <row r="18" spans="1:11" ht="14.45" customHeight="1" x14ac:dyDescent="0.25">
      <c r="A18" s="44" t="s">
        <v>989</v>
      </c>
      <c r="B18" s="45"/>
      <c r="C18" s="45"/>
      <c r="D18" s="45"/>
      <c r="E18" s="45"/>
      <c r="F18" s="45"/>
      <c r="G18" s="45"/>
      <c r="H18" s="45"/>
      <c r="I18" s="45"/>
      <c r="J18" s="45"/>
      <c r="K18" s="46"/>
    </row>
    <row r="19" spans="1:11" ht="14.45" customHeight="1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9"/>
    </row>
    <row r="20" spans="1:11" ht="14.45" customHeight="1" x14ac:dyDescent="0.25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9"/>
    </row>
    <row r="21" spans="1:11" ht="14.45" customHeight="1" x14ac:dyDescent="0.25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9"/>
    </row>
    <row r="22" spans="1:11" ht="14.45" customHeight="1" x14ac:dyDescent="0.25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9"/>
    </row>
    <row r="23" spans="1:11" ht="22.9" customHeight="1" thickBot="1" x14ac:dyDescent="0.3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2"/>
    </row>
    <row r="24" spans="1:11" ht="25.9" customHeight="1" x14ac:dyDescent="0.25">
      <c r="A24" s="44" t="s">
        <v>988</v>
      </c>
      <c r="B24" s="45"/>
      <c r="C24" s="45"/>
      <c r="D24" s="45"/>
      <c r="E24" s="45"/>
      <c r="F24" s="45"/>
      <c r="G24" s="45"/>
      <c r="H24" s="45"/>
      <c r="I24" s="45"/>
      <c r="J24" s="45"/>
      <c r="K24" s="46"/>
    </row>
    <row r="25" spans="1:11" ht="25.9" customHeight="1" x14ac:dyDescent="0.25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9"/>
    </row>
    <row r="26" spans="1:11" ht="25.9" customHeight="1" x14ac:dyDescent="0.25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49"/>
    </row>
    <row r="27" spans="1:11" ht="25.9" customHeight="1" x14ac:dyDescent="0.2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9"/>
    </row>
    <row r="28" spans="1:11" ht="25.9" customHeight="1" x14ac:dyDescent="0.2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9"/>
    </row>
    <row r="29" spans="1:11" ht="25.9" customHeight="1" thickBot="1" x14ac:dyDescent="0.3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2"/>
    </row>
    <row r="30" spans="1:11" ht="14.45" customHeight="1" x14ac:dyDescent="0.25">
      <c r="A30" s="62" t="s">
        <v>991</v>
      </c>
      <c r="B30" s="63"/>
      <c r="C30" s="63"/>
      <c r="D30" s="63"/>
      <c r="E30" s="63"/>
      <c r="F30" s="63"/>
      <c r="G30" s="63"/>
      <c r="H30" s="63"/>
      <c r="I30" s="63"/>
      <c r="J30" s="63"/>
      <c r="K30" s="64"/>
    </row>
    <row r="31" spans="1:11" ht="14.45" customHeight="1" x14ac:dyDescent="0.25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7"/>
    </row>
    <row r="32" spans="1:11" ht="14.45" customHeight="1" x14ac:dyDescent="0.25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7"/>
    </row>
    <row r="33" spans="1:11" ht="14.45" customHeight="1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7"/>
    </row>
    <row r="34" spans="1:11" ht="14.45" customHeight="1" x14ac:dyDescent="0.25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7"/>
    </row>
    <row r="35" spans="1:11" ht="14.45" customHeight="1" x14ac:dyDescent="0.25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7"/>
    </row>
    <row r="36" spans="1:11" ht="14.45" customHeight="1" x14ac:dyDescent="0.25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7"/>
    </row>
    <row r="37" spans="1:11" ht="14.45" customHeight="1" x14ac:dyDescent="0.25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7"/>
    </row>
    <row r="38" spans="1:11" ht="14.45" customHeight="1" x14ac:dyDescent="0.25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7"/>
    </row>
    <row r="39" spans="1:11" ht="14.45" customHeight="1" x14ac:dyDescent="0.25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</row>
    <row r="40" spans="1:11" ht="14.45" customHeight="1" x14ac:dyDescent="0.25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7"/>
    </row>
    <row r="41" spans="1:11" x14ac:dyDescent="0.25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7"/>
    </row>
    <row r="42" spans="1:11" ht="32.450000000000003" customHeight="1" thickBot="1" x14ac:dyDescent="0.3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70"/>
    </row>
  </sheetData>
  <mergeCells count="5">
    <mergeCell ref="A2:K6"/>
    <mergeCell ref="A24:K29"/>
    <mergeCell ref="A18:K23"/>
    <mergeCell ref="A9:K16"/>
    <mergeCell ref="A30:K42"/>
  </mergeCell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7E10B-62C9-4622-8E77-E2B9191AA1C6}">
  <dimension ref="A1:K36"/>
  <sheetViews>
    <sheetView showGridLines="0" view="pageBreakPreview" zoomScale="55" zoomScaleNormal="100" zoomScaleSheetLayoutView="55" workbookViewId="0">
      <selection activeCell="A24" sqref="A24:K36"/>
    </sheetView>
  </sheetViews>
  <sheetFormatPr baseColWidth="10" defaultRowHeight="15" x14ac:dyDescent="0.25"/>
  <cols>
    <col min="11" max="11" width="28.140625" customWidth="1"/>
  </cols>
  <sheetData>
    <row r="1" spans="1:11" ht="15.75" thickBot="1" x14ac:dyDescent="0.3"/>
    <row r="2" spans="1:11" x14ac:dyDescent="0.25">
      <c r="A2" s="38" t="s">
        <v>987</v>
      </c>
      <c r="B2" s="39"/>
      <c r="C2" s="39"/>
      <c r="D2" s="39"/>
      <c r="E2" s="39"/>
      <c r="F2" s="39"/>
      <c r="G2" s="39"/>
      <c r="H2" s="39"/>
      <c r="I2" s="39"/>
      <c r="J2" s="39"/>
      <c r="K2" s="40"/>
    </row>
    <row r="3" spans="1:11" ht="14.45" customHeight="1" x14ac:dyDescent="0.25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4.4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4.45" customHeight="1" x14ac:dyDescent="0.25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14.45" customHeight="1" x14ac:dyDescent="0.25">
      <c r="A6" s="41"/>
      <c r="B6" s="42"/>
      <c r="C6" s="42"/>
      <c r="D6" s="42"/>
      <c r="E6" s="42"/>
      <c r="F6" s="42"/>
      <c r="G6" s="42"/>
      <c r="H6" s="42"/>
      <c r="I6" s="42"/>
      <c r="J6" s="42"/>
      <c r="K6" s="43"/>
    </row>
    <row r="7" spans="1:11" x14ac:dyDescent="0.25">
      <c r="A7" s="30"/>
      <c r="K7" s="31"/>
    </row>
    <row r="8" spans="1:11" ht="8.4499999999999993" customHeight="1" thickBot="1" x14ac:dyDescent="0.3">
      <c r="A8" s="30"/>
      <c r="K8" s="31"/>
    </row>
    <row r="9" spans="1:11" x14ac:dyDescent="0.25">
      <c r="A9" s="53" t="s">
        <v>1014</v>
      </c>
      <c r="B9" s="54"/>
      <c r="C9" s="54"/>
      <c r="D9" s="54"/>
      <c r="E9" s="54"/>
      <c r="F9" s="54"/>
      <c r="G9" s="54"/>
      <c r="H9" s="54"/>
      <c r="I9" s="54"/>
      <c r="J9" s="54"/>
      <c r="K9" s="55"/>
    </row>
    <row r="10" spans="1:1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8"/>
    </row>
    <row r="11" spans="1:1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1" x14ac:dyDescent="0.25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8"/>
    </row>
    <row r="13" spans="1:1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8"/>
    </row>
    <row r="14" spans="1:11" x14ac:dyDescent="0.25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1" ht="38.450000000000003" customHeight="1" thickBot="1" x14ac:dyDescent="0.3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1"/>
    </row>
    <row r="17" spans="1:11" ht="38.450000000000003" customHeight="1" thickBot="1" x14ac:dyDescent="0.4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4"/>
    </row>
    <row r="18" spans="1:11" ht="14.45" customHeight="1" x14ac:dyDescent="0.25">
      <c r="A18" s="44" t="s">
        <v>1015</v>
      </c>
      <c r="B18" s="45"/>
      <c r="C18" s="45"/>
      <c r="D18" s="45"/>
      <c r="E18" s="45"/>
      <c r="F18" s="45"/>
      <c r="G18" s="45"/>
      <c r="H18" s="45"/>
      <c r="I18" s="45"/>
      <c r="J18" s="45"/>
      <c r="K18" s="46"/>
    </row>
    <row r="19" spans="1:11" ht="14.45" customHeight="1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9"/>
    </row>
    <row r="20" spans="1:11" ht="14.45" customHeight="1" x14ac:dyDescent="0.25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9"/>
    </row>
    <row r="21" spans="1:11" ht="14.45" customHeight="1" x14ac:dyDescent="0.25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9"/>
    </row>
    <row r="22" spans="1:11" ht="14.45" customHeight="1" x14ac:dyDescent="0.25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9"/>
    </row>
    <row r="23" spans="1:11" ht="22.9" customHeight="1" thickBot="1" x14ac:dyDescent="0.3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2"/>
    </row>
    <row r="24" spans="1:11" ht="14.45" customHeight="1" x14ac:dyDescent="0.25">
      <c r="A24" s="62" t="s">
        <v>991</v>
      </c>
      <c r="B24" s="63"/>
      <c r="C24" s="63"/>
      <c r="D24" s="63"/>
      <c r="E24" s="63"/>
      <c r="F24" s="63"/>
      <c r="G24" s="63"/>
      <c r="H24" s="63"/>
      <c r="I24" s="63"/>
      <c r="J24" s="63"/>
      <c r="K24" s="64"/>
    </row>
    <row r="25" spans="1:11" ht="14.45" customHeight="1" x14ac:dyDescent="0.25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7"/>
    </row>
    <row r="26" spans="1:11" ht="14.45" customHeight="1" x14ac:dyDescent="0.25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7"/>
    </row>
    <row r="27" spans="1:11" ht="14.45" customHeight="1" x14ac:dyDescent="0.25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7"/>
    </row>
    <row r="28" spans="1:11" ht="14.45" customHeight="1" x14ac:dyDescent="0.25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7"/>
    </row>
    <row r="29" spans="1:11" ht="14.45" customHeight="1" x14ac:dyDescent="0.2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7"/>
    </row>
    <row r="30" spans="1:11" ht="14.45" customHeight="1" x14ac:dyDescent="0.25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7"/>
    </row>
    <row r="31" spans="1:11" ht="14.45" customHeight="1" x14ac:dyDescent="0.25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7"/>
    </row>
    <row r="32" spans="1:11" ht="14.45" customHeight="1" x14ac:dyDescent="0.25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7"/>
    </row>
    <row r="33" spans="1:11" ht="14.45" customHeight="1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7"/>
    </row>
    <row r="34" spans="1:11" ht="14.45" customHeight="1" x14ac:dyDescent="0.25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7"/>
    </row>
    <row r="35" spans="1:11" x14ac:dyDescent="0.25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7"/>
    </row>
    <row r="36" spans="1:11" ht="32.450000000000003" customHeight="1" thickBot="1" x14ac:dyDescent="0.3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70"/>
    </row>
  </sheetData>
  <mergeCells count="4">
    <mergeCell ref="A2:K6"/>
    <mergeCell ref="A9:K16"/>
    <mergeCell ref="A18:K23"/>
    <mergeCell ref="A24:K36"/>
  </mergeCells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C76F-B501-4081-A219-75ECAC267129}">
  <sheetPr codeName="Hoja1"/>
  <dimension ref="A2:O79"/>
  <sheetViews>
    <sheetView showGridLines="0" view="pageBreakPreview" topLeftCell="A37" zoomScale="55" zoomScaleNormal="100" zoomScaleSheetLayoutView="55" workbookViewId="0">
      <selection activeCell="A7" sqref="A7:E9"/>
    </sheetView>
  </sheetViews>
  <sheetFormatPr baseColWidth="10" defaultColWidth="11.5703125" defaultRowHeight="23.25" x14ac:dyDescent="0.25"/>
  <cols>
    <col min="1" max="1" width="21.28515625" style="26" customWidth="1"/>
    <col min="2" max="2" width="29.28515625" style="26" customWidth="1"/>
    <col min="3" max="3" width="27.7109375" style="26" customWidth="1"/>
    <col min="4" max="4" width="36.28515625" style="26" customWidth="1"/>
    <col min="5" max="5" width="26.42578125" style="26" customWidth="1"/>
    <col min="6" max="6" width="21.7109375" style="26" customWidth="1"/>
    <col min="7" max="7" width="29.7109375" style="26" customWidth="1"/>
    <col min="8" max="8" width="21" style="26" customWidth="1"/>
    <col min="9" max="9" width="23.7109375" style="26" customWidth="1"/>
    <col min="10" max="10" width="22.28515625" style="26" customWidth="1"/>
    <col min="11" max="11" width="21.5703125" style="26" customWidth="1"/>
    <col min="12" max="12" width="27.28515625" style="26" customWidth="1"/>
    <col min="13" max="16384" width="11.5703125" style="26"/>
  </cols>
  <sheetData>
    <row r="2" spans="1:15" x14ac:dyDescent="0.25">
      <c r="C2" s="170" t="s">
        <v>871</v>
      </c>
      <c r="D2" s="170"/>
      <c r="E2" s="170"/>
      <c r="F2" s="170"/>
      <c r="G2" s="170"/>
      <c r="H2" s="170"/>
      <c r="I2" s="170"/>
    </row>
    <row r="3" spans="1:15" ht="17.45" customHeight="1" x14ac:dyDescent="0.25">
      <c r="C3" s="170"/>
      <c r="D3" s="170"/>
      <c r="E3" s="170"/>
      <c r="F3" s="170"/>
      <c r="G3" s="170"/>
      <c r="H3" s="170"/>
      <c r="I3" s="170"/>
      <c r="J3" s="27"/>
    </row>
    <row r="4" spans="1:15" ht="30.6" customHeight="1" x14ac:dyDescent="0.25">
      <c r="C4" s="170"/>
      <c r="D4" s="170"/>
      <c r="E4" s="170"/>
      <c r="F4" s="170"/>
      <c r="G4" s="170"/>
      <c r="H4" s="170"/>
      <c r="I4" s="170"/>
    </row>
    <row r="5" spans="1:15" ht="82.15" customHeight="1" thickBot="1" x14ac:dyDescent="0.3">
      <c r="B5" s="24"/>
      <c r="C5" s="24"/>
      <c r="D5" s="24"/>
      <c r="E5" s="24"/>
    </row>
    <row r="6" spans="1:15" ht="24.75" thickTop="1" thickBot="1" x14ac:dyDescent="0.3">
      <c r="A6" s="114" t="s">
        <v>855</v>
      </c>
      <c r="B6" s="111"/>
      <c r="C6" s="111"/>
      <c r="D6" s="111"/>
      <c r="E6" s="112"/>
      <c r="F6" s="114" t="s">
        <v>856</v>
      </c>
      <c r="G6" s="111"/>
      <c r="H6" s="111"/>
      <c r="I6" s="112"/>
      <c r="J6" s="114" t="s">
        <v>857</v>
      </c>
      <c r="K6" s="111"/>
      <c r="L6" s="112"/>
    </row>
    <row r="7" spans="1:15" ht="17.45" customHeight="1" thickTop="1" x14ac:dyDescent="0.25">
      <c r="A7" s="121" t="s">
        <v>38</v>
      </c>
      <c r="B7" s="122"/>
      <c r="C7" s="122"/>
      <c r="D7" s="122"/>
      <c r="E7" s="123"/>
      <c r="F7" s="121">
        <f>+IFERROR(VLOOKUP(A7,REFRIGERANTES!$F$10:$P$172,11,FALSE),"SELECCIONE EL REFRIGERANTE CON LA LISTA DESPLEGABLE")</f>
        <v>14400</v>
      </c>
      <c r="G7" s="122"/>
      <c r="H7" s="122"/>
      <c r="I7" s="123"/>
      <c r="J7" s="122">
        <f>+IFERROR(VLOOKUP(A7,REFRIGERANTES!$F$10:$Q$172,12,FALSE),"SELECCIONE EL REFRIGERANTE CON LA LISTA DESPLEGABLE")</f>
        <v>1</v>
      </c>
      <c r="K7" s="122"/>
      <c r="L7" s="123"/>
    </row>
    <row r="8" spans="1:15" ht="34.15" customHeight="1" thickBot="1" x14ac:dyDescent="0.3">
      <c r="A8" s="124"/>
      <c r="B8" s="125"/>
      <c r="C8" s="125"/>
      <c r="D8" s="125"/>
      <c r="E8" s="126"/>
      <c r="F8" s="131"/>
      <c r="G8" s="132"/>
      <c r="H8" s="132"/>
      <c r="I8" s="133"/>
      <c r="J8" s="125"/>
      <c r="K8" s="125"/>
      <c r="L8" s="126"/>
    </row>
    <row r="9" spans="1:15" ht="34.9" customHeight="1" thickTop="1" thickBot="1" x14ac:dyDescent="0.3">
      <c r="A9" s="124"/>
      <c r="B9" s="125"/>
      <c r="C9" s="125"/>
      <c r="D9" s="125"/>
      <c r="E9" s="126"/>
      <c r="F9" s="156" t="s">
        <v>926</v>
      </c>
      <c r="G9" s="156"/>
      <c r="H9" s="156"/>
      <c r="I9" s="128"/>
      <c r="J9" s="114" t="s">
        <v>953</v>
      </c>
      <c r="K9" s="111"/>
      <c r="L9" s="112"/>
    </row>
    <row r="10" spans="1:15" ht="17.45" customHeight="1" thickTop="1" x14ac:dyDescent="0.25">
      <c r="A10" s="127" t="s">
        <v>916</v>
      </c>
      <c r="B10" s="128"/>
      <c r="C10" s="121" t="s">
        <v>918</v>
      </c>
      <c r="D10" s="122"/>
      <c r="E10" s="123"/>
      <c r="F10" s="157">
        <f>40000/F7</f>
        <v>2.7777777777777777</v>
      </c>
      <c r="G10" s="157"/>
      <c r="H10" s="157"/>
      <c r="I10" s="158"/>
      <c r="J10" s="125" t="str">
        <f>IFERROR(VLOOKUP(A7,REFRIGERANTES!$F$7:$U$172,16,FALSE),"SELECCIONA UN REFRIGERANTE")</f>
        <v>SUJETO A REGLAMENTO SUSTANCIAS DAÑAN CAPA DE OZONO</v>
      </c>
      <c r="K10" s="125"/>
      <c r="L10" s="126"/>
    </row>
    <row r="11" spans="1:15" ht="34.15" customHeight="1" thickBot="1" x14ac:dyDescent="0.3">
      <c r="A11" s="129"/>
      <c r="B11" s="130"/>
      <c r="C11" s="131"/>
      <c r="D11" s="132"/>
      <c r="E11" s="133"/>
      <c r="F11" s="159"/>
      <c r="G11" s="159"/>
      <c r="H11" s="159"/>
      <c r="I11" s="160"/>
      <c r="J11" s="125"/>
      <c r="K11" s="125"/>
      <c r="L11" s="126"/>
    </row>
    <row r="12" spans="1:15" ht="24.75" thickTop="1" thickBot="1" x14ac:dyDescent="0.3">
      <c r="A12" s="114" t="s">
        <v>903</v>
      </c>
      <c r="B12" s="111"/>
      <c r="C12" s="111"/>
      <c r="D12" s="111"/>
      <c r="E12" s="112"/>
      <c r="F12" s="114" t="s">
        <v>904</v>
      </c>
      <c r="G12" s="111"/>
      <c r="H12" s="111"/>
      <c r="I12" s="111"/>
      <c r="J12" s="111"/>
      <c r="K12" s="111"/>
      <c r="L12" s="112"/>
      <c r="O12" s="16"/>
    </row>
    <row r="13" spans="1:15" ht="22.9" customHeight="1" thickTop="1" x14ac:dyDescent="0.25">
      <c r="A13" s="121" t="str">
        <f>+IFERROR(VLOOKUP(A7,REFRIGERANTES!$F$10:$S$172,14,FALSE),"SELECCIONA UN REFRIGERANTE")</f>
        <v>Refrigerantes que daña la capa de ozono</v>
      </c>
      <c r="B13" s="122"/>
      <c r="C13" s="122"/>
      <c r="D13" s="122"/>
      <c r="E13" s="123"/>
      <c r="F13" s="125" t="str">
        <f>+IF(OR(A13="Refrigerantes que daña la capa de ozono",A13="Gas fluorado y que daña la capa de ozono"),"Se destina a destrucción, está prohibido su uso en nuevas instalaciones y mantenimiento de existentes",IF(OR(A13="Refrigerante natural",A13="Refrigerante orgánico"),"Uso conforme al Reglamento, RD 552/2019",IF(A13="Gas fluorado","ver Condiciones de comercialización y uso de gases fluorados","SELECCIONA UN REFRIGERANTE")))</f>
        <v>Se destina a destrucción, está prohibido su uso en nuevas instalaciones y mantenimiento de existentes</v>
      </c>
      <c r="G13" s="125"/>
      <c r="H13" s="125"/>
      <c r="I13" s="125"/>
      <c r="J13" s="125"/>
      <c r="K13" s="125"/>
      <c r="L13" s="126"/>
      <c r="O13" s="16"/>
    </row>
    <row r="14" spans="1:15" ht="22.9" customHeight="1" x14ac:dyDescent="0.25">
      <c r="A14" s="124"/>
      <c r="B14" s="125"/>
      <c r="C14" s="125"/>
      <c r="D14" s="125"/>
      <c r="E14" s="126"/>
      <c r="F14" s="125"/>
      <c r="G14" s="125"/>
      <c r="H14" s="125"/>
      <c r="I14" s="125"/>
      <c r="J14" s="125"/>
      <c r="K14" s="125"/>
      <c r="L14" s="126"/>
    </row>
    <row r="15" spans="1:15" ht="24" thickBot="1" x14ac:dyDescent="0.3">
      <c r="A15" s="131"/>
      <c r="B15" s="132"/>
      <c r="C15" s="132"/>
      <c r="D15" s="132"/>
      <c r="E15" s="133"/>
      <c r="F15" s="125"/>
      <c r="G15" s="125"/>
      <c r="H15" s="125"/>
      <c r="I15" s="125"/>
      <c r="J15" s="125"/>
      <c r="K15" s="125"/>
      <c r="L15" s="126"/>
    </row>
    <row r="16" spans="1:15" ht="31.5" thickTop="1" thickBot="1" x14ac:dyDescent="0.3">
      <c r="A16" s="140" t="s">
        <v>905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2"/>
    </row>
    <row r="17" spans="1:12" ht="26.45" customHeight="1" thickTop="1" thickBot="1" x14ac:dyDescent="0.3">
      <c r="A17" s="140" t="s">
        <v>919</v>
      </c>
      <c r="B17" s="141"/>
      <c r="C17" s="141"/>
      <c r="D17" s="141"/>
      <c r="E17" s="142"/>
      <c r="F17" s="143" t="s">
        <v>920</v>
      </c>
      <c r="G17" s="143"/>
      <c r="H17" s="143"/>
      <c r="I17" s="143"/>
      <c r="J17" s="143"/>
      <c r="K17" s="143"/>
      <c r="L17" s="144"/>
    </row>
    <row r="18" spans="1:12" ht="24.75" thickTop="1" thickBot="1" x14ac:dyDescent="0.3">
      <c r="A18" s="114" t="s">
        <v>965</v>
      </c>
      <c r="B18" s="111"/>
      <c r="C18" s="111"/>
      <c r="D18" s="111"/>
      <c r="E18" s="112"/>
      <c r="F18" s="114" t="s">
        <v>966</v>
      </c>
      <c r="G18" s="111"/>
      <c r="H18" s="111"/>
      <c r="I18" s="111"/>
      <c r="J18" s="111"/>
      <c r="K18" s="111"/>
      <c r="L18" s="112"/>
    </row>
    <row r="19" spans="1:12" ht="24.75" thickTop="1" thickBot="1" x14ac:dyDescent="0.3">
      <c r="A19" s="137" t="str">
        <f>+IF($A$13="Gas fluorado",IF(OR($C$10="Virgen",$C$10="Reciclado/regenerado",$F$7&gt;=2500,$F$7&lt;2500),"APTO","-"),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PROHIBIDO SU USO</v>
      </c>
      <c r="B19" s="77"/>
      <c r="C19" s="77"/>
      <c r="D19" s="77"/>
      <c r="E19" s="77"/>
      <c r="F19" s="114" t="s">
        <v>963</v>
      </c>
      <c r="G19" s="111"/>
      <c r="H19" s="111"/>
      <c r="I19" s="111"/>
      <c r="J19" s="114" t="s">
        <v>927</v>
      </c>
      <c r="K19" s="111"/>
      <c r="L19" s="112"/>
    </row>
    <row r="20" spans="1:12" ht="24" thickTop="1" x14ac:dyDescent="0.25">
      <c r="A20" s="137"/>
      <c r="B20" s="77"/>
      <c r="C20" s="77"/>
      <c r="D20" s="77"/>
      <c r="E20" s="77"/>
      <c r="F20" s="134" t="str">
        <f>+IF($A$13="Gas fluorado",IF(AND($F$7&gt;=2500,$C$10="Reciclado/regenerado"),"APTO",IF(AND($F$7&gt;=2500,$C$10="Virgen"),"NO APTO", IF($F$7&lt;2500,"APTO","-"))),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PROHIBIDO SU USO</v>
      </c>
      <c r="G20" s="135"/>
      <c r="H20" s="135"/>
      <c r="I20" s="136"/>
      <c r="J20" s="77" t="str">
        <f>+IF($A$13="Gas fluorado",IF(AND($F$7&gt;=2500,$C$10="Reciclado/regenerado"),"APTO",IF(AND($F$7&gt;=2500,$C$10="Virgen"),"APTO", IF($F$7&lt;2500,"APTO","-"))),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PROHIBIDO SU USO</v>
      </c>
      <c r="K20" s="77"/>
      <c r="L20" s="113"/>
    </row>
    <row r="21" spans="1:12" x14ac:dyDescent="0.25">
      <c r="A21" s="137"/>
      <c r="B21" s="77"/>
      <c r="C21" s="77"/>
      <c r="D21" s="77"/>
      <c r="E21" s="77"/>
      <c r="F21" s="137"/>
      <c r="G21" s="77"/>
      <c r="H21" s="77"/>
      <c r="I21" s="113"/>
      <c r="J21" s="77"/>
      <c r="K21" s="77"/>
      <c r="L21" s="113"/>
    </row>
    <row r="22" spans="1:12" ht="24" thickBot="1" x14ac:dyDescent="0.3">
      <c r="A22" s="137"/>
      <c r="B22" s="77"/>
      <c r="C22" s="77"/>
      <c r="D22" s="77"/>
      <c r="E22" s="77"/>
      <c r="F22" s="138"/>
      <c r="G22" s="78"/>
      <c r="H22" s="78"/>
      <c r="I22" s="139"/>
      <c r="J22" s="78"/>
      <c r="K22" s="78"/>
      <c r="L22" s="139"/>
    </row>
    <row r="23" spans="1:12" ht="24.75" thickTop="1" thickBot="1" x14ac:dyDescent="0.3">
      <c r="A23" s="137"/>
      <c r="B23" s="77"/>
      <c r="C23" s="77"/>
      <c r="D23" s="77"/>
      <c r="E23" s="77"/>
      <c r="F23" s="114" t="s">
        <v>921</v>
      </c>
      <c r="G23" s="111"/>
      <c r="H23" s="111"/>
      <c r="I23" s="111"/>
      <c r="J23" s="111"/>
      <c r="K23" s="111"/>
      <c r="L23" s="112"/>
    </row>
    <row r="24" spans="1:12" ht="24.75" thickTop="1" thickBot="1" x14ac:dyDescent="0.3">
      <c r="A24" s="114" t="s">
        <v>924</v>
      </c>
      <c r="B24" s="111"/>
      <c r="C24" s="111"/>
      <c r="D24" s="111"/>
      <c r="E24" s="112"/>
      <c r="F24" s="114" t="s">
        <v>964</v>
      </c>
      <c r="G24" s="111"/>
      <c r="H24" s="111"/>
      <c r="I24" s="112"/>
      <c r="J24" s="161" t="s">
        <v>927</v>
      </c>
      <c r="K24" s="161"/>
      <c r="L24" s="130"/>
    </row>
    <row r="25" spans="1:12" ht="17.45" customHeight="1" thickTop="1" x14ac:dyDescent="0.25">
      <c r="A25" s="134" t="str">
        <f>+IF($A$13="Gas fluorado",IF(AND($F$7&gt;=2500,$C$10="Reciclado/regenerado"),"APTO",IF(AND($F$7&gt;=2500,$C$10="Virgen"),"NO APTO", IF($F$7&lt;2500,"APTO","-"))),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PROHIBIDO SU USO</v>
      </c>
      <c r="B25" s="135"/>
      <c r="C25" s="135"/>
      <c r="D25" s="135"/>
      <c r="E25" s="136"/>
      <c r="F25" s="77" t="str">
        <f>+IF($A$13="Gas fluorado",IF(AND($F$7&gt;=2500,$C$10="Reciclado/regenerado"),"APTO",IF(AND($F$7&gt;=2500,$C$10="Virgen"),"NO APTO", IF($F$7&lt;2500,"APTO","-"))),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PROHIBIDO SU USO</v>
      </c>
      <c r="G25" s="77"/>
      <c r="H25" s="77"/>
      <c r="I25" s="77"/>
      <c r="J25" s="77"/>
      <c r="K25" s="77"/>
      <c r="L25" s="113"/>
    </row>
    <row r="26" spans="1:12" ht="17.45" customHeight="1" thickBot="1" x14ac:dyDescent="0.3">
      <c r="A26" s="137"/>
      <c r="B26" s="77"/>
      <c r="C26" s="77"/>
      <c r="D26" s="77"/>
      <c r="E26" s="113"/>
      <c r="F26" s="77"/>
      <c r="G26" s="77"/>
      <c r="H26" s="77"/>
      <c r="I26" s="77"/>
      <c r="J26" s="77"/>
      <c r="K26" s="77"/>
      <c r="L26" s="113"/>
    </row>
    <row r="27" spans="1:12" ht="27.6" customHeight="1" thickTop="1" thickBot="1" x14ac:dyDescent="0.3">
      <c r="A27" s="137"/>
      <c r="B27" s="77"/>
      <c r="C27" s="77"/>
      <c r="D27" s="77"/>
      <c r="E27" s="113"/>
      <c r="F27" s="111" t="s">
        <v>922</v>
      </c>
      <c r="G27" s="111"/>
      <c r="H27" s="111"/>
      <c r="I27" s="111"/>
      <c r="J27" s="111"/>
      <c r="K27" s="111"/>
      <c r="L27" s="112"/>
    </row>
    <row r="28" spans="1:12" ht="18" customHeight="1" thickTop="1" thickBot="1" x14ac:dyDescent="0.3">
      <c r="A28" s="138"/>
      <c r="B28" s="78"/>
      <c r="C28" s="78"/>
      <c r="D28" s="78"/>
      <c r="E28" s="139"/>
      <c r="F28" s="77" t="str">
        <f>+IF($A$13="Gas fluorado",IF(AND($F$7&gt;=2500,$C$10="Reciclado/regenerado"),"APTO HASTA 01/01/2030",IF(AND($F$7&gt;=2500,$C$10="Virgen"),"NO APTO", IF(AND($F$7&lt;2500,$F$7&gt;=750,$C$10="Reciclado/regenerado"),"APTO",IF(AND($F$7&lt;2500,$F$7&gt;=750,$C$10="Virgen"),"APTO",IF($F$7&lt;750,"APTO","-"))))),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PROHIBIDO SU USO</v>
      </c>
      <c r="G28" s="77"/>
      <c r="H28" s="77"/>
      <c r="I28" s="77"/>
      <c r="J28" s="77"/>
      <c r="K28" s="77"/>
      <c r="L28" s="113"/>
    </row>
    <row r="29" spans="1:12" ht="24.75" thickTop="1" thickBot="1" x14ac:dyDescent="0.3">
      <c r="A29" s="114" t="s">
        <v>925</v>
      </c>
      <c r="B29" s="111"/>
      <c r="C29" s="111"/>
      <c r="D29" s="111"/>
      <c r="E29" s="112"/>
      <c r="F29" s="77"/>
      <c r="G29" s="77"/>
      <c r="H29" s="77"/>
      <c r="I29" s="77"/>
      <c r="J29" s="77"/>
      <c r="K29" s="77"/>
      <c r="L29" s="113"/>
    </row>
    <row r="30" spans="1:12" ht="17.45" customHeight="1" thickTop="1" thickBot="1" x14ac:dyDescent="0.3">
      <c r="A30" s="134" t="str">
        <f>+IF($A$13="Gas fluorado",IF(AND($F$7&gt;=2500,$C$10="Reciclado/regenerado"),"NO APTO",IF(AND($F$7&gt;=2500,$C$10="Virgen"),"NO APTO", IF($F$7&lt;2500,"APTO","-"))),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PROHIBIDO SU USO</v>
      </c>
      <c r="B30" s="135"/>
      <c r="C30" s="135"/>
      <c r="D30" s="135"/>
      <c r="E30" s="136"/>
      <c r="F30" s="77"/>
      <c r="G30" s="77"/>
      <c r="H30" s="77"/>
      <c r="I30" s="77"/>
      <c r="J30" s="77"/>
      <c r="K30" s="77"/>
      <c r="L30" s="113"/>
    </row>
    <row r="31" spans="1:12" ht="28.9" customHeight="1" thickTop="1" thickBot="1" x14ac:dyDescent="0.3">
      <c r="A31" s="137"/>
      <c r="B31" s="77"/>
      <c r="C31" s="77"/>
      <c r="D31" s="77"/>
      <c r="E31" s="113"/>
      <c r="F31" s="109" t="s">
        <v>923</v>
      </c>
      <c r="G31" s="110"/>
      <c r="H31" s="111"/>
      <c r="I31" s="111"/>
      <c r="J31" s="111"/>
      <c r="K31" s="111"/>
      <c r="L31" s="112"/>
    </row>
    <row r="32" spans="1:12" ht="17.45" customHeight="1" thickTop="1" x14ac:dyDescent="0.25">
      <c r="A32" s="137"/>
      <c r="B32" s="77"/>
      <c r="C32" s="77"/>
      <c r="D32" s="77"/>
      <c r="E32" s="113"/>
      <c r="F32" s="77" t="str">
        <f>+IF($A$13="Gas fluorado",IF(AND($F$7&lt;2500,$F$7&gt;=750,$C$10="Reciclado/regenerado"),"APTO",IF(AND($F$7&gt;=750,$C$10="Virgen"),"NO APTO", IF($F$7&lt;750,"APTO",IF($F$7&gt;=2500,"NO APTO","-")))),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PROHIBIDO SU USO</v>
      </c>
      <c r="G32" s="77"/>
      <c r="H32" s="77"/>
      <c r="I32" s="77"/>
      <c r="J32" s="77"/>
      <c r="K32" s="77"/>
      <c r="L32" s="113"/>
    </row>
    <row r="33" spans="1:15" ht="17.45" customHeight="1" x14ac:dyDescent="0.25">
      <c r="A33" s="137"/>
      <c r="B33" s="77"/>
      <c r="C33" s="77"/>
      <c r="D33" s="77"/>
      <c r="E33" s="113"/>
      <c r="F33" s="77"/>
      <c r="G33" s="77"/>
      <c r="H33" s="77"/>
      <c r="I33" s="77"/>
      <c r="J33" s="77"/>
      <c r="K33" s="77"/>
      <c r="L33" s="113"/>
    </row>
    <row r="34" spans="1:15" ht="18" customHeight="1" thickBot="1" x14ac:dyDescent="0.3">
      <c r="A34" s="137"/>
      <c r="B34" s="77"/>
      <c r="C34" s="77"/>
      <c r="D34" s="77"/>
      <c r="E34" s="113"/>
      <c r="F34" s="77"/>
      <c r="G34" s="77"/>
      <c r="H34" s="77"/>
      <c r="I34" s="77"/>
      <c r="J34" s="77"/>
      <c r="K34" s="77"/>
      <c r="L34" s="113"/>
    </row>
    <row r="35" spans="1:15" ht="25.9" customHeight="1" thickTop="1" thickBot="1" x14ac:dyDescent="0.3">
      <c r="A35" s="137"/>
      <c r="B35" s="77"/>
      <c r="C35" s="77"/>
      <c r="D35" s="77"/>
      <c r="E35" s="113"/>
      <c r="F35" s="114" t="s">
        <v>929</v>
      </c>
      <c r="G35" s="111"/>
      <c r="H35" s="111"/>
      <c r="I35" s="112"/>
      <c r="J35" s="114" t="s">
        <v>932</v>
      </c>
      <c r="K35" s="111"/>
      <c r="L35" s="112"/>
    </row>
    <row r="36" spans="1:15" ht="33.6" customHeight="1" thickTop="1" x14ac:dyDescent="0.25">
      <c r="A36" s="137"/>
      <c r="B36" s="77"/>
      <c r="C36" s="77"/>
      <c r="D36" s="77"/>
      <c r="E36" s="113"/>
      <c r="F36" s="115" t="s">
        <v>930</v>
      </c>
      <c r="G36" s="116"/>
      <c r="H36" s="116"/>
      <c r="I36" s="117"/>
      <c r="J36" s="119" t="s">
        <v>931</v>
      </c>
      <c r="K36" s="119"/>
      <c r="L36" s="120"/>
    </row>
    <row r="37" spans="1:15" ht="33.6" customHeight="1" x14ac:dyDescent="0.25">
      <c r="A37" s="137"/>
      <c r="B37" s="77"/>
      <c r="C37" s="77"/>
      <c r="D37" s="77"/>
      <c r="E37" s="113"/>
      <c r="F37" s="118"/>
      <c r="G37" s="119"/>
      <c r="H37" s="119"/>
      <c r="I37" s="120"/>
      <c r="J37" s="119"/>
      <c r="K37" s="119"/>
      <c r="L37" s="120"/>
    </row>
    <row r="38" spans="1:15" ht="33.6" customHeight="1" x14ac:dyDescent="0.25">
      <c r="A38" s="137"/>
      <c r="B38" s="77"/>
      <c r="C38" s="77"/>
      <c r="D38" s="77"/>
      <c r="E38" s="113"/>
      <c r="F38" s="118"/>
      <c r="G38" s="119"/>
      <c r="H38" s="119"/>
      <c r="I38" s="120"/>
      <c r="J38" s="119"/>
      <c r="K38" s="119"/>
      <c r="L38" s="120"/>
    </row>
    <row r="39" spans="1:15" ht="33.6" customHeight="1" thickBot="1" x14ac:dyDescent="0.3">
      <c r="A39" s="137"/>
      <c r="B39" s="77"/>
      <c r="C39" s="77"/>
      <c r="D39" s="77"/>
      <c r="E39" s="113"/>
      <c r="F39" s="118"/>
      <c r="G39" s="119"/>
      <c r="H39" s="119"/>
      <c r="I39" s="120"/>
      <c r="J39" s="119"/>
      <c r="K39" s="119"/>
      <c r="L39" s="120"/>
    </row>
    <row r="40" spans="1:15" ht="36" thickBot="1" x14ac:dyDescent="0.3">
      <c r="A40" s="145" t="s">
        <v>950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7"/>
    </row>
    <row r="41" spans="1:15" ht="28.9" hidden="1" customHeight="1" thickTop="1" thickBot="1" x14ac:dyDescent="0.3">
      <c r="A41" s="148" t="s">
        <v>933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50"/>
      <c r="O41" s="16"/>
    </row>
    <row r="42" spans="1:15" ht="29.45" hidden="1" customHeight="1" thickTop="1" thickBot="1" x14ac:dyDescent="0.3">
      <c r="A42" s="151" t="s">
        <v>934</v>
      </c>
      <c r="B42" s="152"/>
      <c r="C42" s="153"/>
      <c r="D42" s="153"/>
      <c r="E42" s="154"/>
      <c r="F42" s="155" t="s">
        <v>935</v>
      </c>
      <c r="G42" s="153"/>
      <c r="H42" s="153"/>
      <c r="I42" s="153"/>
      <c r="J42" s="153"/>
      <c r="K42" s="153"/>
      <c r="L42" s="154"/>
      <c r="O42" s="16"/>
    </row>
    <row r="43" spans="1:15" ht="31.15" hidden="1" customHeight="1" thickTop="1" thickBot="1" x14ac:dyDescent="0.3">
      <c r="A43" s="94" t="s">
        <v>965</v>
      </c>
      <c r="B43" s="95"/>
      <c r="C43" s="72" t="s">
        <v>978</v>
      </c>
      <c r="D43" s="72"/>
      <c r="E43" s="104"/>
      <c r="F43" s="103" t="s">
        <v>966</v>
      </c>
      <c r="G43" s="72"/>
      <c r="H43" s="72"/>
      <c r="I43" s="72" t="s">
        <v>976</v>
      </c>
      <c r="J43" s="72"/>
      <c r="K43" s="72"/>
      <c r="L43" s="72"/>
      <c r="O43" s="16"/>
    </row>
    <row r="44" spans="1:15" ht="18" hidden="1" customHeight="1" x14ac:dyDescent="0.25">
      <c r="A44" s="79" t="str">
        <f>+IFERROR(IF(AND($A$13="Gas Fluorado",OR($J$10="HFC",$J$10="HFC/Anexo II",$J$10="PFC/HFC"),$F$7&gt;=150),
"NO APTO",
IF(AND($A$13="Gas Fluorado",OR($J$10="HFC",$J$10="HFC/Anexo II",$J$10="PFC/HFC"),$F$7&lt;150),
"APTO",
IF(AND($A$13="Gas Fluorado",OR($J$10&lt;&gt;"HFC",$J$10&lt;&gt;"HFC/Anexo II",$J$10&lt;&gt;"PFC/HFC"),$F$7&lt;150),"NO CONTEMPLADO EN EL REGLAMENTO", IF($A$13&lt;&gt;"Gas fluorado","SELECCIONA UN GAS FLUORADO","NO CONTEMPLADO EN EL REGLAMENTO")))),"SELECCIONA UN GAS FLUORADO")</f>
        <v>SELECCIONA UN GAS FLUORADO</v>
      </c>
      <c r="B44" s="80"/>
      <c r="C44" s="85" t="str">
        <f>+IF(AND($A$13 = "Gas fluorado",$F$7&gt;=150), "NO APTO",
IF(AND($A$13 = "Gas fluorado",$F$7&lt;150), "NO APTO, SALVO QUE SE REQUIERA POR CUESTIONES DE SEGURIDAD","SELECCIONA UN GAS FLUORADO"))</f>
        <v>SELECCIONA UN GAS FLUORADO</v>
      </c>
      <c r="D44" s="76"/>
      <c r="E44" s="80"/>
      <c r="F44" s="77" t="str">
        <f>+IFERROR(IF(AND($A$13="Gas Fluorado",OR($J$10="HFC",$J$10="HFC/Anexo II",$J$10="PFC/HFC"),$F$7&gt;=150),
"NO APTO",
IF(AND($A$13="Gas Fluorado",OR($J$10="HFC",$J$10="HFC/Anexo II",$J$10="PFC/HFC"),$F$7&lt;150),
"APTO",
IF(AND($A$13="Gas Fluorado",OR($J$10&lt;&gt;"HFC",$J$10&lt;&gt;"HFC/Anexo II",$J$10&lt;&gt;"PFC/HFC",),$F$7&gt;150),"NO CONTEMPLADO EN EL REGLAMENTO", IF(AND($A$13="Gas Fluorado",OR($J$10&lt;&gt;"HFC",$J$10&lt;&gt;"HFC/Anexo II",$J$10&lt;&gt;"PFC/HFC"),$F$7&lt;150),"APTO",
IF($A$13&lt;&gt;"Gas fluorado","SELECCIONA UN GAS FLUORADO","-"))))),"SELECCIONA UN GAS FLUORADO")</f>
        <v>SELECCIONA UN GAS FLUORADO</v>
      </c>
      <c r="G44" s="77"/>
      <c r="H44" s="77"/>
      <c r="I44" s="85" t="str">
        <f>+IF(AND($A$13="Gas fluorado",$F$7&lt;150),"APTO",
IF(AND($A$13="Gas fluorado",$F$7&gt;=150),"NO APTO",IF($A$13&lt;&gt;"Gas fluorado","SELECCIONA UN GAS FLUORADO","-")))</f>
        <v>SELECCIONA UN GAS FLUORADO</v>
      </c>
      <c r="J44" s="76"/>
      <c r="K44" s="76"/>
      <c r="L44" s="80"/>
    </row>
    <row r="45" spans="1:15" hidden="1" x14ac:dyDescent="0.25">
      <c r="A45" s="81"/>
      <c r="B45" s="82"/>
      <c r="C45" s="86"/>
      <c r="D45" s="77"/>
      <c r="E45" s="82"/>
      <c r="F45" s="77"/>
      <c r="G45" s="77"/>
      <c r="H45" s="77"/>
      <c r="I45" s="86"/>
      <c r="J45" s="77"/>
      <c r="K45" s="77"/>
      <c r="L45" s="82"/>
    </row>
    <row r="46" spans="1:15" ht="24" hidden="1" thickBot="1" x14ac:dyDescent="0.3">
      <c r="A46" s="83"/>
      <c r="B46" s="84"/>
      <c r="C46" s="87"/>
      <c r="D46" s="88"/>
      <c r="E46" s="89"/>
      <c r="F46" s="78"/>
      <c r="G46" s="78"/>
      <c r="H46" s="78"/>
      <c r="I46" s="87"/>
      <c r="J46" s="88"/>
      <c r="K46" s="88"/>
      <c r="L46" s="89"/>
    </row>
    <row r="47" spans="1:15" ht="31.5" thickTop="1" thickBot="1" x14ac:dyDescent="0.3">
      <c r="A47" s="151" t="s">
        <v>936</v>
      </c>
      <c r="B47" s="152"/>
      <c r="C47" s="149"/>
      <c r="D47" s="149"/>
      <c r="E47" s="149"/>
      <c r="F47" s="152"/>
      <c r="G47" s="152"/>
      <c r="H47" s="152"/>
      <c r="I47" s="149"/>
      <c r="J47" s="149"/>
      <c r="K47" s="149"/>
      <c r="L47" s="150"/>
    </row>
    <row r="48" spans="1:15" ht="18" customHeight="1" thickTop="1" x14ac:dyDescent="0.25">
      <c r="A48" s="103" t="s">
        <v>951</v>
      </c>
      <c r="B48" s="72"/>
      <c r="C48" s="104"/>
      <c r="D48" s="103" t="s">
        <v>937</v>
      </c>
      <c r="E48" s="72"/>
      <c r="F48" s="72"/>
      <c r="G48" s="104"/>
      <c r="H48" s="103" t="s">
        <v>938</v>
      </c>
      <c r="I48" s="72"/>
      <c r="J48" s="72"/>
      <c r="K48" s="72"/>
      <c r="L48" s="104"/>
    </row>
    <row r="49" spans="1:12" ht="39.6" customHeight="1" thickBot="1" x14ac:dyDescent="0.3">
      <c r="A49" s="105"/>
      <c r="B49" s="106"/>
      <c r="C49" s="171"/>
      <c r="D49" s="105"/>
      <c r="E49" s="106"/>
      <c r="F49" s="106"/>
      <c r="G49" s="107"/>
      <c r="H49" s="172"/>
      <c r="I49" s="93"/>
      <c r="J49" s="93"/>
      <c r="K49" s="93"/>
      <c r="L49" s="171"/>
    </row>
    <row r="50" spans="1:12" ht="64.900000000000006" customHeight="1" thickTop="1" thickBot="1" x14ac:dyDescent="0.3">
      <c r="A50" s="94" t="s">
        <v>966</v>
      </c>
      <c r="B50" s="95"/>
      <c r="C50" s="17" t="s">
        <v>976</v>
      </c>
      <c r="D50" s="20" t="s">
        <v>966</v>
      </c>
      <c r="E50" s="94" t="s">
        <v>921</v>
      </c>
      <c r="F50" s="95"/>
      <c r="G50" s="20" t="s">
        <v>971</v>
      </c>
      <c r="H50" s="71" t="s">
        <v>980</v>
      </c>
      <c r="I50" s="72"/>
      <c r="J50" s="72"/>
      <c r="K50" s="72"/>
      <c r="L50" s="72"/>
    </row>
    <row r="51" spans="1:12" ht="39" customHeight="1" x14ac:dyDescent="0.25">
      <c r="A51" s="79" t="str">
        <f>+IF(AND($A$13="Gas fluorado",$F$7&gt;=150),"APTO",IF(AND($A$13="Gas fluorado",$F$7&lt;150),"APTO",IF($A$13&lt;&gt;"Gas fluorado","SELECCIONA UN GAS FLUORADO")))</f>
        <v>SELECCIONA UN GAS FLUORADO</v>
      </c>
      <c r="B51" s="76"/>
      <c r="C51" s="73" t="str">
        <f>+IF(AND($A$13="Gas fluorado",$F$7&gt;=150),
"NO APTO, SALVO PARA CUMPLIR CON CONDICIONES DE SEGURIDAD",
IF(AND($A$13="Gas fluorado",$F$7&lt;150),"APTO",IF($A$13&lt;&gt;"Gas fluorado","SELECCIONA UN GAS FLUORADO")))</f>
        <v>SELECCIONA UN GAS FLUORADO</v>
      </c>
      <c r="D51" s="73" t="str">
        <f>+IFERROR(IF(AND($A$13="Gas Fluorado",OR($J$10="HFC",$J$10="HFC/Anexo II",$J$10="PFC/HFC"),$F$7&gt;=2500),
"NO APTO, SALVO QUE SE REQUIERA PARA APLICACIONES POR DEBAJO DE -50ºC",
IF(AND($A$13="Gas Fluorado",OR($J$10="HFC",$J$10="HFC/Anexo II",$J$10="PFC/HFC"),$F$7&lt;2500),
"APTO",
IF(AND($A$13="Gas Fluorado",OR($J$10&lt;&gt;"HFC",$J$10&lt;&gt;"HFC/Anexo II",$J$10&lt;&gt;"PFC/HFC"),$F$7&gt;=2500),"NO APTO, SALVO QUE SE REQUIERA PARA APLICACIONES POR DEBAJO DE -50ºC", IF(AND($A$13="Gas Fluorado",OR($J$10&lt;&gt;"HFC",$J$10&lt;&gt;"HFC/Anexo II",$J$10&lt;&gt;"PFC/HFC"),$F$7&lt;2500),"APTO",
IF($A$13&lt;&gt;"Gas fluorado","SELECCIONA UN GAS FLUORADO","-"))))),"SELECCIONA UN GAS FLUORADO")</f>
        <v>SELECCIONA UN GAS FLUORADO</v>
      </c>
      <c r="E51" s="76" t="str">
        <f>+IFERROR(IF(AND($A$13="Gas Fluorado",OR($J$10="HFC",$J$10="HFC/Anexo II",$J$10="PFC/HFC"),$F$7&gt;=2500),
"NO APTO, SALVO QUE SE REQUIERA PARA APLICACIONES POR DEBAJO DE -50ºC",
IF(AND($A$13="Gas Fluorado",OR($J$10="HFC",$J$10="HFC/Anexo II",$J$10="PFC/HFC"),$F$7&lt;2500),
"APTO",
IF(AND($A$13="Gas Fluorado",OR($J$10&lt;&gt;"HFC",$J$10&lt;&gt;"HFC/Anexo II",$J$10&lt;&gt;"PFC/HFC"),$F$7&gt;=2500),"NO APTO, SALVO QUE SE REQUIERA PARA APLICACIONES POR DEBAJO DE -50ºC", IF(AND($A$13="Gas Fluorado",OR($J$10&lt;&gt;"HFC",$J$10&lt;&gt;"HFC/Anexo II",$J$10&lt;&gt;"PFC/HFC"),$F$7&lt;2500),"APTO",
IF($A$13&lt;&gt;"Gas fluorado","SELECCIONA UN GAS FLUORADO","-"))))),"SELECCIONA UN GAS FLUORADO")</f>
        <v>SELECCIONA UN GAS FLUORADO</v>
      </c>
      <c r="F51" s="76"/>
      <c r="G51" s="73" t="str">
        <f>+IF(AND($A$13="Gas Fluorado",$F$7&gt;=150),
"NO APTO, SALVO QUE SE REQUIERA POR CUESTIONES DE SEGURIDAD",
IF(AND($A$13="Gas Fluorado",$F$7&lt;150),
"APTO",
IF($A$13&lt;&gt;"Gas fluorado","SELECCIONA UN GAS FLUORADO","-")))</f>
        <v>SELECCIONA UN GAS FLUORADO</v>
      </c>
      <c r="H51" s="77" t="str">
        <f>+IF(AND($A$13="Gas Fluorado",$F$7&gt;=150),
"NO APTO, SALVO QUE SE TRATE DE CIRCUITOS PRIMARIOS EN CASCADA, DONDE SE PODRÁN EMPLEAR REFRIGERANTES FLUORADOS CON PCA HASTA 1500",
IF(AND($A$13="Gas Fluorado",$F$7&lt;150),
"APTO",
IF($A$13&lt;&gt;"Gas fluorado","SELECCIONA UN GAS FLUORADO","-")))</f>
        <v>SELECCIONA UN GAS FLUORADO</v>
      </c>
      <c r="I51" s="77"/>
      <c r="J51" s="77"/>
      <c r="K51" s="77"/>
      <c r="L51" s="164"/>
    </row>
    <row r="52" spans="1:12" ht="39" customHeight="1" x14ac:dyDescent="0.25">
      <c r="A52" s="81"/>
      <c r="B52" s="77"/>
      <c r="C52" s="74"/>
      <c r="D52" s="74"/>
      <c r="E52" s="77"/>
      <c r="F52" s="77"/>
      <c r="G52" s="74"/>
      <c r="H52" s="77"/>
      <c r="I52" s="77"/>
      <c r="J52" s="77"/>
      <c r="K52" s="77"/>
      <c r="L52" s="164"/>
    </row>
    <row r="53" spans="1:12" ht="58.15" customHeight="1" thickBot="1" x14ac:dyDescent="0.3">
      <c r="A53" s="83"/>
      <c r="B53" s="78"/>
      <c r="C53" s="75"/>
      <c r="D53" s="75"/>
      <c r="E53" s="78"/>
      <c r="F53" s="78"/>
      <c r="G53" s="75"/>
      <c r="H53" s="77"/>
      <c r="I53" s="77"/>
      <c r="J53" s="77"/>
      <c r="K53" s="77"/>
      <c r="L53" s="164"/>
    </row>
    <row r="54" spans="1:12" ht="24.75" thickTop="1" thickBot="1" x14ac:dyDescent="0.3">
      <c r="A54" s="97" t="s">
        <v>906</v>
      </c>
      <c r="B54" s="108"/>
      <c r="C54" s="93"/>
      <c r="D54" s="93"/>
      <c r="E54" s="108"/>
      <c r="F54" s="108"/>
      <c r="G54" s="93"/>
      <c r="H54" s="108"/>
      <c r="I54" s="108"/>
      <c r="J54" s="108"/>
      <c r="K54" s="108"/>
      <c r="L54" s="173"/>
    </row>
    <row r="55" spans="1:12" ht="24.6" customHeight="1" thickTop="1" thickBot="1" x14ac:dyDescent="0.3">
      <c r="A55" s="105" t="s">
        <v>939</v>
      </c>
      <c r="B55" s="106"/>
      <c r="C55" s="106"/>
      <c r="D55" s="106"/>
      <c r="E55" s="93"/>
      <c r="F55" s="93"/>
      <c r="G55" s="18"/>
      <c r="H55" s="105" t="s">
        <v>940</v>
      </c>
      <c r="I55" s="106"/>
      <c r="J55" s="106"/>
      <c r="K55" s="106"/>
      <c r="L55" s="107"/>
    </row>
    <row r="56" spans="1:12" ht="34.15" customHeight="1" thickTop="1" thickBot="1" x14ac:dyDescent="0.3">
      <c r="A56" s="94" t="s">
        <v>967</v>
      </c>
      <c r="B56" s="95"/>
      <c r="C56" s="94" t="s">
        <v>968</v>
      </c>
      <c r="D56" s="95"/>
      <c r="E56" s="72" t="s">
        <v>979</v>
      </c>
      <c r="F56" s="72"/>
      <c r="G56" s="72"/>
      <c r="H56" s="94" t="s">
        <v>975</v>
      </c>
      <c r="I56" s="95"/>
      <c r="J56" s="94" t="s">
        <v>969</v>
      </c>
      <c r="K56" s="96"/>
      <c r="L56" s="95"/>
    </row>
    <row r="57" spans="1:12" ht="17.45" customHeight="1" x14ac:dyDescent="0.25">
      <c r="A57" s="79" t="str">
        <f>+IFERROR(IF(AND($A$13="Gas Fluorado",OR($J$10="HFC",$J$10="HFC/Anexo II",$J$10="PFC/HFC"),$F$7&gt;=2500),
"NO APTO, SALVO QUE SE REQUIERA PARA APLICACIONES POR DEBAJO DE -50ºC",
IF(AND($A$13="Gas Fluorado",OR($J$10="HFC",$J$10="HFC/Anexo II",$J$10="PFC/HFC"),$F$7&lt;2500),
"APTO",
IF(AND($A$13="Gas Fluorado",OR($J$10&lt;&gt;"HFC",$J$10&lt;&gt;"HFC/Anexo II",$J$10&lt;&gt;"PFC/HFC"),$F$7&gt;=2500),"APTO",
IF(AND($A$13="Gas Fluorado",OR($J$10&lt;&gt;"HFC",$J$10&lt;&gt;"HFC/Anexo II",$J$10&lt;&gt;"PFC/HFC"),$F$7&lt;2500),"APTO",
IF($A$13&lt;&gt;"Gas fluorado","SELECCIONA UN GAS FLUORADO","-"))))), "SELECCIONA UN GAS FLUORADO")</f>
        <v>SELECCIONA UN GAS FLUORADO</v>
      </c>
      <c r="B57" s="76"/>
      <c r="C57" s="85" t="str">
        <f>+IF(AND($A$13="Gas Fluorado",$F$7&gt;=150),
"NO APTO, SALVO QUE SE REQUIERA PARA CUMPLIR REQUISITOS DE SEGURIDAD",
IF(AND($A$13="Gas Fluorado",$F$7&lt;150),
"APTO",
IF($A$13&lt;&gt;"Gas fluorado","SELECCIONA UN GAS FLUORADO","-")))</f>
        <v>SELECCIONA UN GAS FLUORADO</v>
      </c>
      <c r="D57" s="80"/>
      <c r="E57" s="77" t="str">
        <f>+IF($A$13="Gas Fluorado","NO APTO, SALVO QUE SE REQUIERA PARA CUMPLIR REQUISITOS DE SEGURIDAD",
IF($A$13&lt;&gt;"Gas fluorado","SELECCIONA UN GAS FLUORADO","-"))</f>
        <v>SELECCIONA UN GAS FLUORADO</v>
      </c>
      <c r="F57" s="77"/>
      <c r="G57" s="77"/>
      <c r="H57" s="85" t="str">
        <f>+IFERROR(IF(AND($A$13="Gas Fluorado",OR($J$10="HFC",$J$10="HFC/Anexo II",$J$10="PFC/HFC"),$F$7&gt;=2500),
"NO APTO, SALVO QUE SE REQUIERA PARA APLICACIONES POR DEBAJO DE -50ºC",
IF(AND($A$13="Gas Fluorado",OR($J$10="HFC",$J$10="HFC/Anexo II",$J$10="PFC/HFC"),$F$7&lt;2500),
"APTO",
IF(AND($A$13="Gas Fluorado",OR($J$10&lt;&gt;"HFC",$J$10&lt;&gt;"HFC/Anexo II",$J$10&lt;&gt;"PFC/HFC"),$F$7&gt;=750),"APTO",
IF(AND($A$13="Gas Fluorado",OR($J$10&lt;&gt;"HFC",$J$10&lt;&gt;"HFC/Anexo II",$J$10&lt;&gt;"PFC/HFC"),$F$7&lt;750),"APTO",
IF($A$13&lt;&gt;"Gas fluorado","SELECCIONA UN GAS FLUORADO","-"))))),"SELECCIONA UN GAS FLUORADO")</f>
        <v>SELECCIONA UN GAS FLUORADO</v>
      </c>
      <c r="I57" s="80"/>
      <c r="J57" s="77" t="str">
        <f>+IF(AND($A$13="Gas Fluorado",$F$7&gt;=750),
"NO APTO, SALVO QUE SE REQUIERA POR CONDICIONES DE SEGURIDAD",
IF(AND($A$13="Gas Fluorado",$F$7&lt;750),
"APTO",
IF($A$13&lt;&gt;"Gas fluorado","SELECCIONA UN GAS FLUORADO","-")))</f>
        <v>SELECCIONA UN GAS FLUORADO</v>
      </c>
      <c r="K57" s="77"/>
      <c r="L57" s="164"/>
    </row>
    <row r="58" spans="1:12" x14ac:dyDescent="0.25">
      <c r="A58" s="81"/>
      <c r="B58" s="77"/>
      <c r="C58" s="86"/>
      <c r="D58" s="82"/>
      <c r="E58" s="77"/>
      <c r="F58" s="77"/>
      <c r="G58" s="77"/>
      <c r="H58" s="86"/>
      <c r="I58" s="82"/>
      <c r="J58" s="77"/>
      <c r="K58" s="77"/>
      <c r="L58" s="164"/>
    </row>
    <row r="59" spans="1:12" x14ac:dyDescent="0.25">
      <c r="A59" s="81"/>
      <c r="B59" s="77"/>
      <c r="C59" s="86"/>
      <c r="D59" s="82"/>
      <c r="E59" s="77"/>
      <c r="F59" s="77"/>
      <c r="G59" s="77"/>
      <c r="H59" s="86"/>
      <c r="I59" s="82"/>
      <c r="J59" s="77"/>
      <c r="K59" s="77"/>
      <c r="L59" s="164"/>
    </row>
    <row r="60" spans="1:12" ht="24" thickBot="1" x14ac:dyDescent="0.3">
      <c r="A60" s="83"/>
      <c r="B60" s="78"/>
      <c r="C60" s="87"/>
      <c r="D60" s="89"/>
      <c r="E60" s="78"/>
      <c r="F60" s="78"/>
      <c r="G60" s="78"/>
      <c r="H60" s="87"/>
      <c r="I60" s="89"/>
      <c r="J60" s="78"/>
      <c r="K60" s="78"/>
      <c r="L60" s="169"/>
    </row>
    <row r="61" spans="1:12" ht="24.75" thickTop="1" thickBot="1" x14ac:dyDescent="0.3">
      <c r="A61" s="177" t="s">
        <v>949</v>
      </c>
      <c r="B61" s="108"/>
      <c r="C61" s="93"/>
      <c r="D61" s="93"/>
      <c r="E61" s="108"/>
      <c r="F61" s="108"/>
      <c r="G61" s="108"/>
      <c r="H61" s="93"/>
      <c r="I61" s="93"/>
      <c r="J61" s="108"/>
      <c r="K61" s="108"/>
      <c r="L61" s="173"/>
    </row>
    <row r="62" spans="1:12" ht="24.75" thickTop="1" thickBot="1" x14ac:dyDescent="0.3">
      <c r="A62" s="103" t="s">
        <v>941</v>
      </c>
      <c r="B62" s="72"/>
      <c r="C62" s="72"/>
      <c r="D62" s="72"/>
      <c r="E62" s="104"/>
      <c r="F62" s="72" t="s">
        <v>942</v>
      </c>
      <c r="G62" s="72"/>
      <c r="H62" s="72"/>
      <c r="I62" s="72"/>
      <c r="J62" s="72"/>
      <c r="K62" s="72"/>
      <c r="L62" s="104"/>
    </row>
    <row r="63" spans="1:12" ht="36" customHeight="1" thickTop="1" thickBot="1" x14ac:dyDescent="0.3">
      <c r="A63" s="103" t="s">
        <v>943</v>
      </c>
      <c r="B63" s="72"/>
      <c r="C63" s="104"/>
      <c r="D63" s="103" t="s">
        <v>944</v>
      </c>
      <c r="E63" s="72"/>
      <c r="F63" s="174" t="s">
        <v>943</v>
      </c>
      <c r="G63" s="175"/>
      <c r="H63" s="175"/>
      <c r="I63" s="176"/>
      <c r="J63" s="72" t="s">
        <v>946</v>
      </c>
      <c r="K63" s="72"/>
      <c r="L63" s="104"/>
    </row>
    <row r="64" spans="1:12" ht="54.6" customHeight="1" thickTop="1" thickBot="1" x14ac:dyDescent="0.3">
      <c r="A64" s="20" t="s">
        <v>967</v>
      </c>
      <c r="B64" s="20" t="s">
        <v>968</v>
      </c>
      <c r="C64" s="20" t="s">
        <v>925</v>
      </c>
      <c r="D64" s="20" t="s">
        <v>967</v>
      </c>
      <c r="E64" s="19" t="s">
        <v>969</v>
      </c>
      <c r="F64" s="92" t="s">
        <v>947</v>
      </c>
      <c r="G64" s="108"/>
      <c r="H64" s="97" t="s">
        <v>948</v>
      </c>
      <c r="I64" s="98"/>
      <c r="J64" s="178" t="s">
        <v>973</v>
      </c>
      <c r="K64" s="178" t="s">
        <v>974</v>
      </c>
      <c r="L64" s="72" t="s">
        <v>985</v>
      </c>
    </row>
    <row r="65" spans="1:12" ht="72.599999999999994" customHeight="1" thickTop="1" thickBot="1" x14ac:dyDescent="0.3">
      <c r="A65" s="73" t="str">
        <f>+IF(AND($A$13="Gas Fluorado",$F$7&gt;=150),
"APTO",
IF(AND($A$13="Gas Fluorado",$F$7&lt;150),
"APTO",
IF($A$13&lt;&gt;"Gas fluorado","SELECCIONA UN GAS FLUORADO","-")))</f>
        <v>SELECCIONA UN GAS FLUORADO</v>
      </c>
      <c r="B65" s="73" t="str">
        <f>+IF(AND($A$13="Gas Fluorado",$F$7&gt;=150),
"NO APTO, SALVO QUE SE REQUIERA POR CONDICIONES DE SEGURIDAD, EN ESE CASO, EL LÍMITE DE PCA SERÁ DE 750",
IF(AND($A$13="Gas Fluorado",$F$7&lt;150),
"APTO",
IF($A$13&lt;&gt;"Gas fluorado","SELECCIONA UN GAS FLUORADO","-")))</f>
        <v>SELECCIONA UN GAS FLUORADO</v>
      </c>
      <c r="C65" s="76" t="str">
        <f>+IF($A$13="Gas Fluorado",
"NO APTO, SALVO QUE SE REQUIERA POR CONDICIONES DE SEGURIDAD, EN ESE CASO, EL LÍMITE DE PCA SERÁ DE 750",
IF($A$13&lt;&gt;"Gas fluorado","SELECCIONA UN GAS FLUORADO","-"))</f>
        <v>SELECCIONA UN GAS FLUORADO</v>
      </c>
      <c r="D65" s="73" t="str">
        <f>+IF(AND($A$13="Gas Fluorado",$F$7&gt;=150),
"APTO",
IF(AND($A$13="Gas Fluorado",$F$7&lt;150),
"APTO",
IF($A$13&lt;&gt;"Gas fluorado","SELECCIONA UN GAS FLUORADO","-")))</f>
        <v>SELECCIONA UN GAS FLUORADO</v>
      </c>
      <c r="E65" s="77" t="str">
        <f>+IF(AND($A$13="Gas Fluorado",$F$7&gt;=150),
"NO APTO, SALVO QUE REQUIERA CUMPLIR CONDICIONES DE SEGURIDAD, SE PUEDE AUMENTAR EL PCA EN ESTOS CASOS HASTA 750",
IF(AND($A$13="Gas Fluorado",$F$7&lt;150),
"APTO",
IF($A$13&lt;&gt;"Gas fluorado","SELECCIONA UN GAS FLUORADO","-")))</f>
        <v>SELECCIONA UN GAS FLUORADO</v>
      </c>
      <c r="F65" s="22" t="s">
        <v>972</v>
      </c>
      <c r="G65" s="25" t="s">
        <v>981</v>
      </c>
      <c r="H65" s="28" t="s">
        <v>967</v>
      </c>
      <c r="I65" s="23" t="s">
        <v>982</v>
      </c>
      <c r="J65" s="179"/>
      <c r="K65" s="179"/>
      <c r="L65" s="93"/>
    </row>
    <row r="66" spans="1:12" ht="90.6" customHeight="1" thickTop="1" x14ac:dyDescent="0.25">
      <c r="A66" s="74"/>
      <c r="B66" s="74"/>
      <c r="C66" s="77"/>
      <c r="D66" s="74"/>
      <c r="E66" s="77"/>
      <c r="F66" s="86" t="str">
        <f>+IF(AND($A$13="Gas Fluorado",$F$7&gt;=150),
"APTO",
IF(AND($A$13="Gas Fluorado",$F$7&lt;150),
"APTO",
IF($A$13&lt;&gt;"Gas fluorado","SELECCIONA UN GAS FLUORADO","-")))</f>
        <v>SELECCIONA UN GAS FLUORADO</v>
      </c>
      <c r="G66" s="99" t="str">
        <f>+IF(AND($A$13="Gas Fluorado",$F$7&gt;=150),
"NO APTO, SALVO QUE SE REQUIERA POR CUESTIONES DE SEGURIDAD",
IF(AND($A$13="Gas Fluorado",$F$7&lt;150),
"APTO",
IF($A$13&lt;&gt;"Gas fluorado","SELECCIONA UN GAS FLUORADO","-")))</f>
        <v>SELECCIONA UN GAS FLUORADO</v>
      </c>
      <c r="H66" s="101" t="str">
        <f>+IF(AND($A$13="Gas Fluorado",$F$7&gt;=150),
"APTO",
IF(AND($A$13="Gas Fluorado",$F$7&lt;150),
"APTO",
IF($A$13&lt;&gt;"Gas fluorado","SELECCIONA UN GAS FLUORADO","-")))</f>
        <v>SELECCIONA UN GAS FLUORADO</v>
      </c>
      <c r="I66" s="182" t="str">
        <f>+IF(AND($A$13="Gas Fluorado",$F$7&gt;=150),
"NO APTO, SALVO QUE SE REQUIERA POR CUESTIONES DE SEGURIDAD",
IF(AND($A$13="Gas Fluorado",$F$7&lt;150),
"APTO",
IF($A$13&lt;&gt;"Gas fluorado","SELECCIONA UN GAS FLUORADO","-")))</f>
        <v>SELECCIONA UN GAS FLUORADO</v>
      </c>
      <c r="J66" s="73" t="str">
        <f>+IF(AND($A$13="Gas Fluorado",$F$7&gt;=750),
"APTO",
IF(AND($A$13="Gas Fluorado",$F$7&lt;750),
"APTO",
IF($A$13&lt;&gt;"Gas fluorado","SELECCIONA UN GAS FLUORADO","-")))</f>
        <v>SELECCIONA UN GAS FLUORADO</v>
      </c>
      <c r="K66" s="73" t="str">
        <f>+IF(AND($A$13="Gas Fluorado",$F$7&gt;=750),
"NO APTO, SALVO QUE SEA NECESARIO PARA CUMPLIR REQUISITOS DE SEGURIDAD",
IF(AND($A$13="Gas Fluorado",$F$7&lt;750),
"APTO",
IF($A$13&lt;&gt;"Gas fluorado","SELECCIONA UN GAS FLUORADO","-")))</f>
        <v>SELECCIONA UN GAS FLUORADO</v>
      </c>
      <c r="L66" s="136" t="str">
        <f>+IF(AND($A$13="Gas Fluorado",$F$7&gt;=150),
"NO APTO, SALVO QUE SE REQUIERA CUMPLIR CONDICIONES DE SEGURIDAD",
IF(AND($A$13="Gas Fluorado",$F$7&lt;150),
"APTO",
IF($A$13&lt;&gt;"Gas fluorado","SELECCIONA UN GAS FLUORADO","-")))</f>
        <v>SELECCIONA UN GAS FLUORADO</v>
      </c>
    </row>
    <row r="67" spans="1:12" ht="138.6" customHeight="1" thickBot="1" x14ac:dyDescent="0.3">
      <c r="A67" s="75"/>
      <c r="B67" s="75"/>
      <c r="C67" s="78"/>
      <c r="D67" s="75"/>
      <c r="E67" s="78"/>
      <c r="F67" s="181"/>
      <c r="G67" s="100"/>
      <c r="H67" s="102"/>
      <c r="I67" s="82"/>
      <c r="J67" s="75"/>
      <c r="K67" s="75"/>
      <c r="L67" s="139"/>
    </row>
    <row r="68" spans="1:12" ht="24" customHeight="1" thickTop="1" thickBot="1" x14ac:dyDescent="0.3">
      <c r="A68" s="180" t="s">
        <v>945</v>
      </c>
      <c r="B68" s="106"/>
      <c r="C68" s="106"/>
      <c r="D68" s="106"/>
      <c r="E68" s="106"/>
      <c r="F68" s="92" t="s">
        <v>947</v>
      </c>
      <c r="G68" s="93"/>
      <c r="H68" s="94" t="s">
        <v>948</v>
      </c>
      <c r="I68" s="95"/>
      <c r="J68" s="106" t="s">
        <v>962</v>
      </c>
      <c r="K68" s="106"/>
      <c r="L68" s="167"/>
    </row>
    <row r="69" spans="1:12" ht="79.150000000000006" customHeight="1" thickTop="1" thickBot="1" x14ac:dyDescent="0.3">
      <c r="A69" s="94" t="s">
        <v>970</v>
      </c>
      <c r="B69" s="96"/>
      <c r="C69" s="95"/>
      <c r="D69" s="94" t="s">
        <v>971</v>
      </c>
      <c r="E69" s="96"/>
      <c r="F69" s="94" t="s">
        <v>977</v>
      </c>
      <c r="G69" s="95"/>
      <c r="H69" s="90" t="s">
        <v>977</v>
      </c>
      <c r="I69" s="91"/>
      <c r="J69" s="21" t="s">
        <v>966</v>
      </c>
      <c r="K69" s="20" t="s">
        <v>983</v>
      </c>
      <c r="L69" s="20" t="s">
        <v>977</v>
      </c>
    </row>
    <row r="70" spans="1:12" ht="35.450000000000003" customHeight="1" x14ac:dyDescent="0.25">
      <c r="A70" s="76" t="str">
        <f>+IF(AND($A$13="Gas Fluorado",$F$7&gt;=150),
"APTO",
IF(AND($A$13="Gas Fluorado",$F$7&lt;150),
"APTO",
IF($A$13&lt;&gt;"Gas fluorado","SELECCIONA UN GAS FLUORADO","-")))</f>
        <v>SELECCIONA UN GAS FLUORADO</v>
      </c>
      <c r="B70" s="76"/>
      <c r="C70" s="76"/>
      <c r="D70" s="76" t="str">
        <f>+IF(AND($A$13="Gas Fluorado",$F$7&gt;=150),
"NO APTO, SALVO QUE REQUIERA CUMPLIR CONDICIONES DE SEGURIDAD, SE PUEDE AUMENTAR EL PCA EN ESTOS CASOS HASTA 750",
IF(AND($A$13="Gas Fluorado",$F$7&lt;150),
"APTO",
IF($A$13&lt;&gt;"Gas fluorado","SELECCIONA UN GAS FLUORADO","-")))</f>
        <v>SELECCIONA UN GAS FLUORADO</v>
      </c>
      <c r="E70" s="76"/>
      <c r="F70" s="85" t="str">
        <f>+IF($A$13="Gas Fluorado",
"NO APTO, SALVO QUE SE REQUIERA POR CUESTIONES DE SEGURIDAD",
IF($A$13&lt;&gt;"Gas fluorado","SELECCIONA UN GAS FLUORADO","-"))</f>
        <v>SELECCIONA UN GAS FLUORADO</v>
      </c>
      <c r="G70" s="80"/>
      <c r="H70" s="85" t="str">
        <f>+IF($A$13="Gas Fluorado",
"NO APTO, SALVO QUE SE REQUIERA POR CUESTIONES DE SEGURIDAD",
IF($A$13&lt;&gt;"Gas fluorado","SELECCIONA UN GAS FLUORADO","-"))</f>
        <v>SELECCIONA UN GAS FLUORADO</v>
      </c>
      <c r="I70" s="76"/>
      <c r="J70" s="73" t="str">
        <f>+IFERROR(IF(AND($A$13="Gas Fluorado",OR($J$10="HFC",$J$10="HFC/Anexo II",$J$10="PFC/HFC",$J$10="PFC"),$F$7&gt;=750),
"APTO",
IF(AND($A$13="Gas Fluorado",OR($J$10="HFC",$J$10="HFC/Anexo II",$J$10="PFC/HFC",$J$10="PFC"),$F$7&lt;750),
"APTO",
IF(AND($A$13="Gas Fluorado",OR($J$10="Anexo II",),$F$7&gt;=750),"APTO",
IF(AND($A$13="Gas Fluorado",OR($J$10="Anexo II",),$F$7&lt;750),"APTO",
IF($A$13&lt;&gt;"Gas fluorado","SELECCIONA UN GAS FLUORADO","-"))))),"SELECCIONA UN GAS FLUORADO")</f>
        <v>SELECCIONA UN GAS FLUORADO</v>
      </c>
      <c r="K70" s="73" t="str">
        <f>+IFERROR(IF(AND($A$13="Gas Fluorado",OR($J$10="HFC",$J$10="HFC/Anexo II",$J$10="PFC/HFC",$J$10="PFC"),$F$7&gt;=750),
"NO APTO",
IF(AND($A$13="Gas Fluorado",OR($J$10="HFC",$J$10="HFC/Anexo II",$J$10="PFC/HFC",$J$10="PFC"),$F$7&lt;750),
"APTO",
IF(AND($A$13="Gas Fluorado",OR($J$10="Anexo II"),$F$7&gt;=750),"NO APTO",
IF(AND($A$13="Gas Fluorado",OR($J$10="Anexo II"),$F$7&lt;750),"APTO",
IF($A$13&lt;&gt;"Gas fluorado","SELECCIONA UN GAS FLUORADO","-"))))),"SELECCIONA UN GAS FLUORADO")</f>
        <v>SELECCIONA UN GAS FLUORADO</v>
      </c>
      <c r="L70" s="168" t="str">
        <f>+IF($A$13="Gas Fluorado",
"NO APTO",
IF($A$13&lt;&gt;"Gas fluorado","SELECCIONA UN GAS FLUORADO","-"))</f>
        <v>SELECCIONA UN GAS FLUORADO</v>
      </c>
    </row>
    <row r="71" spans="1:12" ht="113.45" customHeight="1" thickBot="1" x14ac:dyDescent="0.3">
      <c r="A71" s="78"/>
      <c r="B71" s="78"/>
      <c r="C71" s="78"/>
      <c r="D71" s="78"/>
      <c r="E71" s="78"/>
      <c r="F71" s="87"/>
      <c r="G71" s="89"/>
      <c r="H71" s="87"/>
      <c r="I71" s="88"/>
      <c r="J71" s="75"/>
      <c r="K71" s="75"/>
      <c r="L71" s="169"/>
    </row>
    <row r="72" spans="1:12" ht="29.45" hidden="1" customHeight="1" thickTop="1" thickBot="1" x14ac:dyDescent="0.3">
      <c r="A72" s="97" t="s">
        <v>952</v>
      </c>
      <c r="B72" s="108"/>
      <c r="C72" s="108"/>
      <c r="D72" s="108"/>
      <c r="E72" s="108"/>
      <c r="F72" s="93"/>
      <c r="G72" s="93"/>
      <c r="H72" s="93"/>
      <c r="I72" s="93"/>
      <c r="J72" s="93"/>
      <c r="K72" s="93"/>
      <c r="L72" s="162"/>
    </row>
    <row r="73" spans="1:12" ht="35.450000000000003" hidden="1" customHeight="1" thickTop="1" thickBot="1" x14ac:dyDescent="0.3">
      <c r="A73" s="72" t="s">
        <v>966</v>
      </c>
      <c r="B73" s="72"/>
      <c r="C73" s="72"/>
      <c r="D73" s="72"/>
      <c r="E73" s="72"/>
      <c r="F73" s="104"/>
      <c r="G73" s="97" t="s">
        <v>984</v>
      </c>
      <c r="H73" s="108"/>
      <c r="I73" s="108"/>
      <c r="J73" s="108"/>
      <c r="K73" s="108"/>
      <c r="L73" s="162"/>
    </row>
    <row r="74" spans="1:12" ht="17.45" hidden="1" customHeight="1" thickTop="1" x14ac:dyDescent="0.25">
      <c r="A74" s="85" t="str">
        <f>+IF(AND($A$13="Gas Fluorado",$A$7="R-23"),
"NO APTO",
IF(AND($A$13="Gas Fluorado",$A$7&lt;&gt;"R-23"),
"APTO",
IF($A$13&lt;&gt;"Gas fluorado","SELECCIONA UN GAS FLUORADO","-")))</f>
        <v>SELECCIONA UN GAS FLUORADO</v>
      </c>
      <c r="B74" s="76"/>
      <c r="C74" s="76"/>
      <c r="D74" s="76"/>
      <c r="E74" s="76"/>
      <c r="F74" s="80"/>
      <c r="G74" s="135" t="str">
        <f>+IFERROR(IF(AND($A$13="Gas Fluorado",$A$7="R-23"),
"NO APTO",
IF(AND($A$13="Gas Fluorado",$A$7&lt;&gt;"R-23", OR($J$10="HFC",$J$10="HFC/Anexo II",$J$10="PFC",$J$10="PFC/HFC",)),
"NO APTO, SALVO QUE SE REQUIERA CUMPLIR REQUISITOS DE SEGURIDAD",
IF($A$13&lt;&gt;"Gas fluorado","SELECCIONA UN GAS FLUORADO","APTO"))),"SELECCIONA UN GAS FLUORADO")</f>
        <v>SELECCIONA UN GAS FLUORADO</v>
      </c>
      <c r="H74" s="135"/>
      <c r="I74" s="135"/>
      <c r="J74" s="135"/>
      <c r="K74" s="135"/>
      <c r="L74" s="163"/>
    </row>
    <row r="75" spans="1:12" hidden="1" x14ac:dyDescent="0.25">
      <c r="A75" s="86"/>
      <c r="B75" s="77"/>
      <c r="C75" s="77"/>
      <c r="D75" s="77"/>
      <c r="E75" s="77"/>
      <c r="F75" s="82"/>
      <c r="G75" s="77"/>
      <c r="H75" s="77"/>
      <c r="I75" s="77"/>
      <c r="J75" s="77"/>
      <c r="K75" s="77"/>
      <c r="L75" s="164"/>
    </row>
    <row r="76" spans="1:12" ht="18" hidden="1" customHeight="1" x14ac:dyDescent="0.25">
      <c r="A76" s="86"/>
      <c r="B76" s="77"/>
      <c r="C76" s="77"/>
      <c r="D76" s="77"/>
      <c r="E76" s="77"/>
      <c r="F76" s="82"/>
      <c r="G76" s="77"/>
      <c r="H76" s="77"/>
      <c r="I76" s="77"/>
      <c r="J76" s="77"/>
      <c r="K76" s="77"/>
      <c r="L76" s="164"/>
    </row>
    <row r="77" spans="1:12" hidden="1" x14ac:dyDescent="0.25">
      <c r="A77" s="86"/>
      <c r="B77" s="77"/>
      <c r="C77" s="77"/>
      <c r="D77" s="77"/>
      <c r="E77" s="77"/>
      <c r="F77" s="82"/>
      <c r="G77" s="77"/>
      <c r="H77" s="77"/>
      <c r="I77" s="77"/>
      <c r="J77" s="77"/>
      <c r="K77" s="77"/>
      <c r="L77" s="164"/>
    </row>
    <row r="78" spans="1:12" ht="24" hidden="1" thickBot="1" x14ac:dyDescent="0.3">
      <c r="A78" s="87"/>
      <c r="B78" s="88"/>
      <c r="C78" s="88"/>
      <c r="D78" s="88"/>
      <c r="E78" s="88"/>
      <c r="F78" s="89"/>
      <c r="G78" s="165"/>
      <c r="H78" s="165"/>
      <c r="I78" s="165"/>
      <c r="J78" s="165"/>
      <c r="K78" s="165"/>
      <c r="L78" s="166"/>
    </row>
    <row r="79" spans="1:12" ht="24" thickTop="1" x14ac:dyDescent="0.25"/>
  </sheetData>
  <mergeCells count="125">
    <mergeCell ref="J64:J65"/>
    <mergeCell ref="K64:K65"/>
    <mergeCell ref="L64:L65"/>
    <mergeCell ref="J66:J67"/>
    <mergeCell ref="K66:K67"/>
    <mergeCell ref="L66:L67"/>
    <mergeCell ref="A72:L72"/>
    <mergeCell ref="A68:E68"/>
    <mergeCell ref="F66:F67"/>
    <mergeCell ref="D65:D67"/>
    <mergeCell ref="E65:E67"/>
    <mergeCell ref="I66:I67"/>
    <mergeCell ref="A69:C69"/>
    <mergeCell ref="D69:E69"/>
    <mergeCell ref="A73:F73"/>
    <mergeCell ref="A74:F78"/>
    <mergeCell ref="G73:L73"/>
    <mergeCell ref="G74:L78"/>
    <mergeCell ref="J68:L68"/>
    <mergeCell ref="L70:L71"/>
    <mergeCell ref="C2:I4"/>
    <mergeCell ref="A47:L47"/>
    <mergeCell ref="A48:C49"/>
    <mergeCell ref="H48:L49"/>
    <mergeCell ref="H51:L53"/>
    <mergeCell ref="A54:L54"/>
    <mergeCell ref="H55:L55"/>
    <mergeCell ref="A55:F55"/>
    <mergeCell ref="F63:I63"/>
    <mergeCell ref="J63:L63"/>
    <mergeCell ref="D63:E63"/>
    <mergeCell ref="A63:C63"/>
    <mergeCell ref="A61:L61"/>
    <mergeCell ref="A62:E62"/>
    <mergeCell ref="F62:L62"/>
    <mergeCell ref="H57:I60"/>
    <mergeCell ref="J57:L60"/>
    <mergeCell ref="F7:I8"/>
    <mergeCell ref="F9:I9"/>
    <mergeCell ref="F10:I11"/>
    <mergeCell ref="A6:E6"/>
    <mergeCell ref="F6:I6"/>
    <mergeCell ref="J6:L6"/>
    <mergeCell ref="J9:L9"/>
    <mergeCell ref="J7:L8"/>
    <mergeCell ref="J10:L11"/>
    <mergeCell ref="F28:L30"/>
    <mergeCell ref="F19:I19"/>
    <mergeCell ref="J19:L19"/>
    <mergeCell ref="F24:I24"/>
    <mergeCell ref="J24:L24"/>
    <mergeCell ref="A12:E12"/>
    <mergeCell ref="A13:E15"/>
    <mergeCell ref="F12:L12"/>
    <mergeCell ref="F13:L15"/>
    <mergeCell ref="A40:L40"/>
    <mergeCell ref="A41:L41"/>
    <mergeCell ref="A42:E42"/>
    <mergeCell ref="F42:L42"/>
    <mergeCell ref="A43:B43"/>
    <mergeCell ref="C43:E43"/>
    <mergeCell ref="I43:L43"/>
    <mergeCell ref="F43:H43"/>
    <mergeCell ref="F44:H46"/>
    <mergeCell ref="I44:L46"/>
    <mergeCell ref="F31:L31"/>
    <mergeCell ref="F32:L34"/>
    <mergeCell ref="F35:I35"/>
    <mergeCell ref="J35:L35"/>
    <mergeCell ref="F36:I39"/>
    <mergeCell ref="J36:L39"/>
    <mergeCell ref="F27:L27"/>
    <mergeCell ref="A7:E9"/>
    <mergeCell ref="A10:B11"/>
    <mergeCell ref="C10:E11"/>
    <mergeCell ref="F20:I22"/>
    <mergeCell ref="J20:L22"/>
    <mergeCell ref="A16:L16"/>
    <mergeCell ref="A29:E29"/>
    <mergeCell ref="A25:E28"/>
    <mergeCell ref="A30:E39"/>
    <mergeCell ref="A17:E17"/>
    <mergeCell ref="F17:L17"/>
    <mergeCell ref="A18:E18"/>
    <mergeCell ref="F18:L18"/>
    <mergeCell ref="A19:E23"/>
    <mergeCell ref="A24:E24"/>
    <mergeCell ref="F23:L23"/>
    <mergeCell ref="F25:L26"/>
    <mergeCell ref="D48:G49"/>
    <mergeCell ref="F64:G64"/>
    <mergeCell ref="A65:A67"/>
    <mergeCell ref="F69:G69"/>
    <mergeCell ref="A57:B60"/>
    <mergeCell ref="C57:D60"/>
    <mergeCell ref="E57:G60"/>
    <mergeCell ref="A50:B50"/>
    <mergeCell ref="A51:B53"/>
    <mergeCell ref="E50:F50"/>
    <mergeCell ref="B65:B67"/>
    <mergeCell ref="C65:C67"/>
    <mergeCell ref="H50:L50"/>
    <mergeCell ref="D51:D53"/>
    <mergeCell ref="E51:F53"/>
    <mergeCell ref="A44:B46"/>
    <mergeCell ref="C44:E46"/>
    <mergeCell ref="C51:C53"/>
    <mergeCell ref="G51:G53"/>
    <mergeCell ref="H69:I69"/>
    <mergeCell ref="F70:G71"/>
    <mergeCell ref="H70:I71"/>
    <mergeCell ref="A70:C71"/>
    <mergeCell ref="D70:E71"/>
    <mergeCell ref="J70:J71"/>
    <mergeCell ref="K70:K71"/>
    <mergeCell ref="F68:G68"/>
    <mergeCell ref="H68:I68"/>
    <mergeCell ref="H56:I56"/>
    <mergeCell ref="J56:L56"/>
    <mergeCell ref="E56:G56"/>
    <mergeCell ref="C56:D56"/>
    <mergeCell ref="A56:B56"/>
    <mergeCell ref="H64:I64"/>
    <mergeCell ref="G66:G67"/>
    <mergeCell ref="H66:H67"/>
  </mergeCells>
  <conditionalFormatting sqref="A19 F20:G20 J20 A25 F25:G25 F28:G28 A30 F32:G32">
    <cfRule type="cellIs" dxfId="14" priority="13" operator="equal">
      <formula>"NO APTO"</formula>
    </cfRule>
  </conditionalFormatting>
  <conditionalFormatting sqref="A65:C65">
    <cfRule type="containsText" dxfId="13" priority="3" operator="containsText" text="NO APTO. ">
      <formula>NOT(ISERROR(SEARCH("NO APTO. ",A65)))</formula>
    </cfRule>
  </conditionalFormatting>
  <conditionalFormatting sqref="A48:D48 H48:L49 A49:C49 C50 H50 A50:A51 C51:D51 H51:L53 A54:L55 A56:A57 C56:C57 E56:E57 H56:H57 J56:J57 A61:L63 A64 C64:D64 F64 H64:L64 A65:I65 F66:L66 F67 A68:F68 H68:L68 F69:I69 K69:L69 A69:A70 D69:D70 J69:J70 L70 A72:L72 A73:A74 G73:G74 A18:L42 A43:A44 C43:C44 F43:F44 I44 A47:L47">
    <cfRule type="cellIs" dxfId="12" priority="7" operator="equal">
      <formula>"PROHIBIDO SU USO"</formula>
    </cfRule>
  </conditionalFormatting>
  <conditionalFormatting sqref="A48:D48 H48:L49 A49:C49 C50 H50 A50:A51 C51:D51 H51:L53 A54:L55 A56:A57 C56:C57 E56:E57 H56:H57 J56:J57 A61:L63 A64 C64:D64 F64 H64:L64 A65:I65 F66:L66 F67 A68:F68 H68:L68 F69:I69 K69:L69 A69:A70 D69:D70 J69:J70 L70 A72:L72 A73:A74 G73:G74">
    <cfRule type="containsText" dxfId="11" priority="4" operator="containsText" text="NO APTO DESDE">
      <formula>NOT(ISERROR(SEARCH("NO APTO DESDE",A48)))</formula>
    </cfRule>
  </conditionalFormatting>
  <conditionalFormatting sqref="A16:L39">
    <cfRule type="cellIs" dxfId="10" priority="6" operator="equal">
      <formula>"Consultar condiciones mantenimiento en RSIF"</formula>
    </cfRule>
  </conditionalFormatting>
  <conditionalFormatting sqref="A16:L78">
    <cfRule type="cellIs" dxfId="9" priority="14" operator="equal">
      <formula>"APTO"</formula>
    </cfRule>
  </conditionalFormatting>
  <conditionalFormatting sqref="A19:L39">
    <cfRule type="cellIs" dxfId="8" priority="5" operator="equal">
      <formula>"SELECCIONA UN REFRIGERANTE"</formula>
    </cfRule>
  </conditionalFormatting>
  <conditionalFormatting sqref="A40:L42 A43:A44 C43:C44 F43:F44 I44 A47:L47 A48:D48 H48:L49 A49:C49 C50 H50 A50:A51 C51:D51 H51:L53 A54:L55 A56:A57 C56:C57 E56:E57 H56:H57 J56:J57 A61:L63 A64 C64:D64 F64 H64:L64 A65:I65 F66:L66 F67 A68:F68 H68:L68 F69:I69 K69:L69 A69:A70 D69:D70 J69:J70 L70 A72:L72 A73:A74 G73:G74">
    <cfRule type="cellIs" dxfId="7" priority="10" operator="equal">
      <formula>"APTO"</formula>
    </cfRule>
  </conditionalFormatting>
  <conditionalFormatting sqref="A40:L78">
    <cfRule type="cellIs" dxfId="6" priority="11" operator="equal">
      <formula>"NO APTO"</formula>
    </cfRule>
  </conditionalFormatting>
  <conditionalFormatting sqref="A42:L78">
    <cfRule type="cellIs" dxfId="5" priority="1" operator="equal">
      <formula>"NO CONTEMPLADO EN EL REGLAMENTO"</formula>
    </cfRule>
  </conditionalFormatting>
  <conditionalFormatting sqref="A43:XFD78">
    <cfRule type="cellIs" dxfId="3" priority="2" operator="equal">
      <formula>"SELECCIONA UN GAS FLUORADO"</formula>
    </cfRule>
  </conditionalFormatting>
  <conditionalFormatting sqref="F28:L30">
    <cfRule type="cellIs" dxfId="2" priority="12" operator="equal">
      <formula>"APTO HASTA 01/01/2030"</formula>
    </cfRule>
  </conditionalFormatting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58BBE60C-CEBD-4BF6-80C1-983E1B6BD8B6}">
            <xm:f>NOT(ISERROR(SEARCH("NO APTO, SALVO ",A42)))</xm:f>
            <xm:f>"NO APTO, SALVO "</xm:f>
            <x14:dxf>
              <font>
                <b/>
                <i/>
              </font>
              <fill>
                <patternFill>
                  <bgColor rgb="FFFFC000"/>
                </patternFill>
              </fill>
            </x14:dxf>
          </x14:cfRule>
          <xm:sqref>A42:L78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D36432-7757-4104-9F3B-06C2E389B0B5}">
          <x14:formula1>
            <xm:f>REFRIGERANTES!$F$10:$F$173</xm:f>
          </x14:formula1>
          <xm:sqref>A7</xm:sqref>
        </x14:dataValidation>
        <x14:dataValidation type="list" allowBlank="1" showInputMessage="1" showErrorMessage="1" xr:uid="{C5519070-8798-4DCA-9F28-C2EBC2F4D768}">
          <x14:formula1>
            <xm:f>Hoja3!$J$16:$J$17</xm:f>
          </x14:formula1>
          <xm:sqref>C10:E11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1CD6-BE99-4C29-8D51-2B13A0A7C7A6}">
  <dimension ref="A2:O19"/>
  <sheetViews>
    <sheetView showGridLines="0" tabSelected="1" view="pageBreakPreview" topLeftCell="D1" zoomScale="80" zoomScaleNormal="100" zoomScaleSheetLayoutView="80" workbookViewId="0">
      <selection activeCell="I13" sqref="I13:J15"/>
    </sheetView>
  </sheetViews>
  <sheetFormatPr baseColWidth="10" defaultColWidth="11.5703125" defaultRowHeight="23.25" x14ac:dyDescent="0.25"/>
  <cols>
    <col min="1" max="1" width="21.28515625" style="26" customWidth="1"/>
    <col min="2" max="2" width="29.28515625" style="26" customWidth="1"/>
    <col min="3" max="3" width="27.7109375" style="26" customWidth="1"/>
    <col min="4" max="4" width="36.28515625" style="26" customWidth="1"/>
    <col min="5" max="5" width="26.42578125" style="26" customWidth="1"/>
    <col min="6" max="6" width="30.7109375" style="26" customWidth="1"/>
    <col min="7" max="7" width="29.7109375" style="26" customWidth="1"/>
    <col min="8" max="8" width="21" style="26" customWidth="1"/>
    <col min="9" max="9" width="23.7109375" style="26" customWidth="1"/>
    <col min="10" max="10" width="22.28515625" style="26" customWidth="1"/>
    <col min="11" max="11" width="21.5703125" style="26" customWidth="1"/>
    <col min="12" max="12" width="27.28515625" style="26" customWidth="1"/>
    <col min="13" max="16384" width="11.5703125" style="26"/>
  </cols>
  <sheetData>
    <row r="2" spans="1:15" x14ac:dyDescent="0.25">
      <c r="C2" s="170" t="s">
        <v>992</v>
      </c>
      <c r="D2" s="170"/>
      <c r="E2" s="170"/>
      <c r="F2" s="170"/>
      <c r="G2" s="170"/>
      <c r="H2" s="170"/>
      <c r="I2" s="170"/>
    </row>
    <row r="3" spans="1:15" ht="17.45" customHeight="1" x14ac:dyDescent="0.25">
      <c r="C3" s="170"/>
      <c r="D3" s="170"/>
      <c r="E3" s="170"/>
      <c r="F3" s="170"/>
      <c r="G3" s="170"/>
      <c r="H3" s="170"/>
      <c r="I3" s="170"/>
      <c r="J3" s="27"/>
    </row>
    <row r="4" spans="1:15" ht="30.6" customHeight="1" x14ac:dyDescent="0.25">
      <c r="C4" s="170"/>
      <c r="D4" s="170"/>
      <c r="E4" s="170"/>
      <c r="F4" s="170"/>
      <c r="G4" s="170"/>
      <c r="H4" s="170"/>
      <c r="I4" s="170"/>
    </row>
    <row r="5" spans="1:15" ht="82.15" customHeight="1" thickBot="1" x14ac:dyDescent="0.3">
      <c r="B5" s="24"/>
      <c r="C5" s="24"/>
      <c r="D5" s="24"/>
      <c r="E5" s="24"/>
    </row>
    <row r="6" spans="1:15" ht="24.75" thickTop="1" thickBot="1" x14ac:dyDescent="0.3">
      <c r="A6" s="114" t="s">
        <v>855</v>
      </c>
      <c r="B6" s="111"/>
      <c r="C6" s="111"/>
      <c r="D6" s="111"/>
      <c r="E6" s="112"/>
      <c r="F6" s="114" t="s">
        <v>856</v>
      </c>
      <c r="G6" s="111"/>
      <c r="H6" s="111"/>
      <c r="I6" s="112"/>
      <c r="J6" s="114" t="s">
        <v>857</v>
      </c>
      <c r="K6" s="111"/>
      <c r="L6" s="112"/>
    </row>
    <row r="7" spans="1:15" ht="17.45" customHeight="1" thickTop="1" x14ac:dyDescent="0.25">
      <c r="A7" s="219" t="s">
        <v>1016</v>
      </c>
      <c r="B7" s="204"/>
      <c r="C7" s="204"/>
      <c r="D7" s="204"/>
      <c r="E7" s="220"/>
      <c r="F7" s="121">
        <f>+IFERROR(VLOOKUP(A7,REFRIGERANTES!$F$10:$P$172,11,FALSE),"SELECCIONE EL REFRIGERANTE CON LA LISTA DESPLEGABLE")</f>
        <v>4</v>
      </c>
      <c r="G7" s="122"/>
      <c r="H7" s="122"/>
      <c r="I7" s="123"/>
      <c r="J7" s="122">
        <f>+IFERROR(VLOOKUP(A7,REFRIGERANTES!$F$10:$Q$172,12,FALSE),"SELECCIONE EL REFRIGERANTE CON LA LISTA DESPLEGABLE")</f>
        <v>0</v>
      </c>
      <c r="K7" s="122"/>
      <c r="L7" s="123"/>
    </row>
    <row r="8" spans="1:15" ht="34.15" customHeight="1" thickBot="1" x14ac:dyDescent="0.3">
      <c r="A8" s="221"/>
      <c r="B8" s="197"/>
      <c r="C8" s="197"/>
      <c r="D8" s="197"/>
      <c r="E8" s="222"/>
      <c r="F8" s="124"/>
      <c r="G8" s="125"/>
      <c r="H8" s="125"/>
      <c r="I8" s="126"/>
      <c r="J8" s="125"/>
      <c r="K8" s="125"/>
      <c r="L8" s="126"/>
    </row>
    <row r="9" spans="1:15" ht="55.15" customHeight="1" thickTop="1" thickBot="1" x14ac:dyDescent="0.3">
      <c r="A9" s="221"/>
      <c r="B9" s="197"/>
      <c r="C9" s="197"/>
      <c r="D9" s="197"/>
      <c r="E9" s="197"/>
      <c r="F9" s="35" t="s">
        <v>995</v>
      </c>
      <c r="G9" s="216" t="s">
        <v>994</v>
      </c>
      <c r="H9" s="184"/>
      <c r="I9" s="36" t="s">
        <v>996</v>
      </c>
      <c r="J9" s="111" t="s">
        <v>953</v>
      </c>
      <c r="K9" s="111"/>
      <c r="L9" s="112"/>
    </row>
    <row r="10" spans="1:15" ht="17.45" customHeight="1" thickTop="1" x14ac:dyDescent="0.25">
      <c r="A10" s="127" t="s">
        <v>916</v>
      </c>
      <c r="B10" s="128"/>
      <c r="C10" s="121" t="s">
        <v>918</v>
      </c>
      <c r="D10" s="122"/>
      <c r="E10" s="122"/>
      <c r="F10" s="209">
        <f>5*1000/F7</f>
        <v>1250</v>
      </c>
      <c r="G10" s="211">
        <f>50*1000/F7</f>
        <v>12500</v>
      </c>
      <c r="H10" s="212"/>
      <c r="I10" s="209">
        <f>500*1000/F7</f>
        <v>125000</v>
      </c>
      <c r="J10" s="125" t="str">
        <f>IFERROR(VLOOKUP(A7,REFRIGERANTES!$F$7:$U$172,16,FALSE),"SELECCIONA UN REFRIGERANTE")</f>
        <v>ANEXO II</v>
      </c>
      <c r="K10" s="125"/>
      <c r="L10" s="126"/>
    </row>
    <row r="11" spans="1:15" ht="34.15" customHeight="1" thickBot="1" x14ac:dyDescent="0.3">
      <c r="A11" s="129"/>
      <c r="B11" s="130"/>
      <c r="C11" s="131"/>
      <c r="D11" s="132"/>
      <c r="E11" s="132"/>
      <c r="F11" s="210"/>
      <c r="G11" s="213"/>
      <c r="H11" s="214"/>
      <c r="I11" s="215"/>
      <c r="J11" s="125"/>
      <c r="K11" s="125"/>
      <c r="L11" s="126"/>
    </row>
    <row r="12" spans="1:15" ht="47.45" customHeight="1" thickTop="1" thickBot="1" x14ac:dyDescent="0.3">
      <c r="A12" s="114" t="s">
        <v>903</v>
      </c>
      <c r="B12" s="111"/>
      <c r="C12" s="111"/>
      <c r="D12" s="111"/>
      <c r="E12" s="111"/>
      <c r="F12" s="216" t="s">
        <v>998</v>
      </c>
      <c r="G12" s="183"/>
      <c r="H12" s="184"/>
      <c r="I12" s="216" t="s">
        <v>999</v>
      </c>
      <c r="J12" s="184"/>
      <c r="K12" s="217" t="s">
        <v>1000</v>
      </c>
      <c r="L12" s="218"/>
      <c r="O12" s="16"/>
    </row>
    <row r="13" spans="1:15" ht="22.9" customHeight="1" thickTop="1" thickBot="1" x14ac:dyDescent="0.3">
      <c r="A13" s="121" t="str">
        <f>+IFERROR(VLOOKUP(A7,REFRIGERANTES!$F$10:$S$172,14,FALSE),"SELECCIONA UN REFRIGERANTE")</f>
        <v>Gas fluorado</v>
      </c>
      <c r="B13" s="122"/>
      <c r="C13" s="122"/>
      <c r="D13" s="122"/>
      <c r="E13" s="122"/>
      <c r="F13" s="35" t="s">
        <v>1001</v>
      </c>
      <c r="G13" s="183" t="s">
        <v>1002</v>
      </c>
      <c r="H13" s="184"/>
      <c r="I13" s="193" t="s">
        <v>1004</v>
      </c>
      <c r="J13" s="195"/>
      <c r="K13" s="187" t="str">
        <f>+IF(AND($A$13="Gas fluorado",$D$17="No",OR($J$10="HFC/ANEXO II",$J$10="HFC",$J$10="HFC/PFC",$J$10="PFC"),$G$14&gt;=5),"SUJETO A CONTROL DE FUGAS",
IF(AND($A$13="Gas fluorado",$D$17="No",$J$10="ANEXO II",$F$14&gt;=1),"SUJETO A CONTROL DE FUGAS",
IF(AND($A$13="Gas fluorado",$D$17="Sí",$J$10="ANEXO II",$F$14&gt;=2,F17="NO"),"SUJETO A CONTROL DE FUGAS",
IF(AND($A$13="Gas fluorado",$D$17="Sí",OR($J$10="HFC/ANEXO II",$J$10="HFC",$J$10="HFC/PFC",$J$10="PFC"),$G$14&gt;=10),"SUJETO A CONTROL DE FUGAS",
IF(AND($A$13="Gas fluorado",$D$17="Sí",$F$14&gt;=3,$F$17="Sí"),"SUJETO A CONTROL DE FUGAS",
IF(AND($A$13="Gas fluorado",$D$17="Sí",OR($J$10="HFC/ANEXO II",$J$10="HFC",$J$10="HFC/PFC",$J$10="PFC"),$G$14&gt;=10),"SUJETO A CONTROL DE FUGAS",
IF(AND($A$13="Gas fluorado",$A$17="Aparamenta eléctrica",$G$14&gt;=6,$I$13="Sí"),"SUJETO A CONTROL DE FUGAS SALVO QUE ÍNDICE DE FUGAS SEA MENOR A 0,1% CERTIFICADO POR EL FABRICANTE",
IF(OR($A$13="Gas fluorado y que daña la capa de ozono",$A$13="Refrigerantes que daña la capa de ozono"),"DESTINADO A DESTRUCCIÓN","NO SUJETO A CONTROL DE FUGAS"))))))))</f>
        <v>SUJETO A CONTROL DE FUGAS</v>
      </c>
      <c r="L13" s="188"/>
      <c r="O13" s="16"/>
    </row>
    <row r="14" spans="1:15" ht="22.9" customHeight="1" x14ac:dyDescent="0.25">
      <c r="A14" s="124"/>
      <c r="B14" s="125"/>
      <c r="C14" s="125"/>
      <c r="D14" s="125"/>
      <c r="E14" s="125"/>
      <c r="F14" s="185">
        <v>2</v>
      </c>
      <c r="G14" s="187">
        <f>+F14*F7*10^-3</f>
        <v>8.0000000000000002E-3</v>
      </c>
      <c r="H14" s="188"/>
      <c r="I14" s="196"/>
      <c r="J14" s="198"/>
      <c r="K14" s="191"/>
      <c r="L14" s="192"/>
    </row>
    <row r="15" spans="1:15" ht="24" thickBot="1" x14ac:dyDescent="0.3">
      <c r="A15" s="124"/>
      <c r="B15" s="125"/>
      <c r="C15" s="125"/>
      <c r="D15" s="132"/>
      <c r="E15" s="132"/>
      <c r="F15" s="186"/>
      <c r="G15" s="189"/>
      <c r="H15" s="190"/>
      <c r="I15" s="199"/>
      <c r="J15" s="201"/>
      <c r="K15" s="189"/>
      <c r="L15" s="190"/>
    </row>
    <row r="16" spans="1:15" ht="24" customHeight="1" thickTop="1" thickBot="1" x14ac:dyDescent="0.3">
      <c r="A16" s="206" t="s">
        <v>997</v>
      </c>
      <c r="B16" s="207"/>
      <c r="C16" s="208"/>
      <c r="D16" s="111" t="s">
        <v>993</v>
      </c>
      <c r="E16" s="111"/>
      <c r="F16" s="183" t="s">
        <v>1007</v>
      </c>
      <c r="G16" s="183"/>
      <c r="H16" s="183"/>
      <c r="I16" s="183" t="s">
        <v>1006</v>
      </c>
      <c r="J16" s="183"/>
      <c r="K16" s="183"/>
      <c r="L16" s="183"/>
    </row>
    <row r="17" spans="1:12" ht="24" thickTop="1" x14ac:dyDescent="0.25">
      <c r="A17" s="193" t="s">
        <v>1013</v>
      </c>
      <c r="B17" s="194"/>
      <c r="C17" s="195"/>
      <c r="D17" s="204" t="s">
        <v>1005</v>
      </c>
      <c r="E17" s="204"/>
      <c r="F17" s="193" t="s">
        <v>1004</v>
      </c>
      <c r="G17" s="194"/>
      <c r="H17" s="195"/>
      <c r="I17" s="202" t="str">
        <f>+IF($K$13="NO SUJETO A CONTROL DE FUGAS","NO SUJETO A CONTROL DE FUGAS",
IF(OR(AND($A$13="Gas fluorado",OR($J$10="HFC/ANEXO II",$J$10="HFC",$J$10="HFC/PFC",$J$10="PFC"),$G$14&gt;=5,$G$14&lt;50,$I$13="NO",$D$17="NO"),AND($A$13="Gas fluorado",$J$10="ANEXO II",OR($F$14&gt;=1,$F$14&lt;10),$I$13="NO",$D$17="NO")),"ANUALMENTE",
+IF(OR(AND($A$13="Gas fluorado",OR($J$10="HFC/ANEXO II",$J$10="HFC",$J$10="HFC/PFC",$J$10="PFC"),$G$14&gt;=10,$G$14&lt;50,$I$13="NO",$D$17="SÍ"),AND($A$13="Gas fluorado",$J$10="ANEXO II",OR($F$14&gt;=2,$F$14&lt;10),$I$13="NO",$D$17="SÍ")),"ANUALMENTE",
+IF(OR(AND($A$13="Gas fluorado",OR($J$10="HFC/ANEXO II",$J$10="HFC",$J$10="HFC/PFC",$J$10="PFC"),$G$14&gt;=50,$G$14&lt;500,$I$13="NO"),AND($A$13="Gas fluorado",$J$10="ANEXO II",OR($F$14&gt;=10,$F$14&lt;100),$I$13="NO")),"SEMESTRALMENTE",
+IF(OR(AND($A$13="Gas fluorado",OR($J$10="HFC/ANEXO II",$J$10="HFC",$J$10="HFC/PFC",$J$10="PFC"),$G$14&gt;=500,$I$13="NO"),AND($A$13="Gas fluorado",$J$10="ANEXO II",OR($F$14&gt;=100),$I$13="NO")),"TRIMESTALMENTE",
+IF(OR(AND($A$13="Gas fluorado",OR($J$10="HFC/ANEXO II",$J$10="HFC",$J$10="HFC/PFC",$J$10="PFC"),$G$14&gt;=5,$G$14&lt;50,$I$13="Sí"),AND($A$13="Gas fluorado",$J$10="ANEXO II",OR($F$14&gt;=1,$F$14&lt;10),$I$13="Sí")),"CADA 2 AÑOS",
+IF(OR(AND($A$13="Gas fluorado",OR($J$10="HFC/ANEXO II",$J$10="HFC",$J$10="HFC/PFC",$J$10="PFC"),$G$14&gt;=50,$G$14&lt;500,$I$13="Sí"),AND($A$13="Gas fluorado",$J$10="ANEXO II",OR($F$14&gt;=10,$F$14&lt;100),$I$13="SÍ")),"ANUALMENTE",
+IF(OR(AND($A$13="Gas fluorado",OR($J$10="HFC/ANEXO II",$J$10="HFC",$J$10="HFC/PFC",$J$10="PFC"),$G$14&gt;=500,$I$13="Sí"),AND($A$13="Gas fluorado",$J$10="ANEXO II",OR($F$14&gt;=100),$I$13="Sí")),"SEMESTRALMENTE",
+IF(OR(AND($A$13="Gas fluorado",OR($J$10="HFC/ANEXO II",$J$10="HFC",$J$10="HFC/PFC",$J$10="PFC"),$G$14&gt;=50,$G$14&lt;500,$I$13="Sí"),AND($A$13="Gas fluorado",$J$10="ANEXO II",OR($F$14&gt;=10,$F$14&lt;100),$I$13="Sí")),"SEMESTRALMENTE",
IF($K$13="EXENTO","EXENTO",IF($K$13="DESTINADO A DESTRUCCIÓN","DESTINADO A DESTRUCCIÓN","-")))))))))))</f>
        <v>CADA 2 AÑOS</v>
      </c>
      <c r="J17" s="202"/>
      <c r="K17" s="202"/>
      <c r="L17" s="188"/>
    </row>
    <row r="18" spans="1:12" x14ac:dyDescent="0.25">
      <c r="A18" s="196"/>
      <c r="B18" s="197"/>
      <c r="C18" s="198"/>
      <c r="D18" s="197"/>
      <c r="E18" s="197"/>
      <c r="F18" s="196"/>
      <c r="G18" s="197"/>
      <c r="H18" s="198"/>
      <c r="I18" s="125"/>
      <c r="J18" s="125"/>
      <c r="K18" s="125"/>
      <c r="L18" s="192"/>
    </row>
    <row r="19" spans="1:12" ht="24" thickBot="1" x14ac:dyDescent="0.3">
      <c r="A19" s="199"/>
      <c r="B19" s="200"/>
      <c r="C19" s="201"/>
      <c r="D19" s="205"/>
      <c r="E19" s="205"/>
      <c r="F19" s="199"/>
      <c r="G19" s="200"/>
      <c r="H19" s="201"/>
      <c r="I19" s="203"/>
      <c r="J19" s="203"/>
      <c r="K19" s="203"/>
      <c r="L19" s="190"/>
    </row>
  </sheetData>
  <mergeCells count="33">
    <mergeCell ref="C2:I4"/>
    <mergeCell ref="A6:E6"/>
    <mergeCell ref="F6:I6"/>
    <mergeCell ref="J6:L6"/>
    <mergeCell ref="A7:E9"/>
    <mergeCell ref="F7:I8"/>
    <mergeCell ref="J7:L8"/>
    <mergeCell ref="J9:L9"/>
    <mergeCell ref="G9:H9"/>
    <mergeCell ref="A10:B11"/>
    <mergeCell ref="C10:E11"/>
    <mergeCell ref="J10:L11"/>
    <mergeCell ref="A12:E12"/>
    <mergeCell ref="F10:F11"/>
    <mergeCell ref="G10:H11"/>
    <mergeCell ref="I10:I11"/>
    <mergeCell ref="F12:H12"/>
    <mergeCell ref="I12:J12"/>
    <mergeCell ref="K12:L12"/>
    <mergeCell ref="A17:C19"/>
    <mergeCell ref="D17:E19"/>
    <mergeCell ref="A16:C16"/>
    <mergeCell ref="D16:E16"/>
    <mergeCell ref="A13:E15"/>
    <mergeCell ref="G13:H13"/>
    <mergeCell ref="F14:F15"/>
    <mergeCell ref="G14:H15"/>
    <mergeCell ref="K13:L15"/>
    <mergeCell ref="F17:H19"/>
    <mergeCell ref="I16:L16"/>
    <mergeCell ref="I17:L19"/>
    <mergeCell ref="F16:H16"/>
    <mergeCell ref="I13:J15"/>
  </mergeCell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8160305-2FBE-4B0C-9058-9FBE678E9E38}">
          <x14:formula1>
            <xm:f>Hoja3!$J$16:$J$17</xm:f>
          </x14:formula1>
          <xm:sqref>C10:E11</xm:sqref>
        </x14:dataValidation>
        <x14:dataValidation type="list" allowBlank="1" showInputMessage="1" showErrorMessage="1" xr:uid="{5B18078E-054D-4AC2-9EFA-6852237A9FFF}">
          <x14:formula1>
            <xm:f>REFRIGERANTES!$F$10:$F$173</xm:f>
          </x14:formula1>
          <xm:sqref>A7</xm:sqref>
        </x14:dataValidation>
        <x14:dataValidation type="list" allowBlank="1" showInputMessage="1" showErrorMessage="1" xr:uid="{4207F98E-C8A4-419F-84EF-D8860FBAA2C7}">
          <x14:formula1>
            <xm:f>Hoja3!$L$16:$L$22</xm:f>
          </x14:formula1>
          <xm:sqref>A17:C19</xm:sqref>
        </x14:dataValidation>
        <x14:dataValidation type="list" allowBlank="1" showInputMessage="1" showErrorMessage="1" xr:uid="{765D172D-7918-4843-8725-B8975F17EECD}">
          <x14:formula1>
            <xm:f>Hoja3!$O$16:$O$17</xm:f>
          </x14:formula1>
          <xm:sqref>D17:E19</xm:sqref>
        </x14:dataValidation>
        <x14:dataValidation type="list" allowBlank="1" showInputMessage="1" showErrorMessage="1" xr:uid="{E464AF5F-CB31-40A5-8072-5E871923C256}">
          <x14:formula1>
            <xm:f>Hoja3!$O$20:$O$21</xm:f>
          </x14:formula1>
          <xm:sqref>I13</xm:sqref>
        </x14:dataValidation>
        <x14:dataValidation type="list" allowBlank="1" showInputMessage="1" showErrorMessage="1" xr:uid="{B9DCC33B-CE4D-4A98-B23E-8BA5FFB0CE0E}">
          <x14:formula1>
            <xm:f>Hoja3!$J$20:$J$21</xm:f>
          </x14:formula1>
          <xm:sqref>F17:H19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A41F-2198-4ADF-98C0-3E6B077B6524}">
  <sheetPr codeName="Hoja2"/>
  <dimension ref="F15:O23"/>
  <sheetViews>
    <sheetView topLeftCell="D16" workbookViewId="0">
      <selection activeCell="O19" sqref="O19"/>
    </sheetView>
  </sheetViews>
  <sheetFormatPr baseColWidth="10" defaultRowHeight="15" x14ac:dyDescent="0.25"/>
  <cols>
    <col min="6" max="6" width="26.140625" customWidth="1"/>
    <col min="7" max="7" width="30.140625" customWidth="1"/>
  </cols>
  <sheetData>
    <row r="15" spans="6:15" x14ac:dyDescent="0.25">
      <c r="F15" t="s">
        <v>913</v>
      </c>
      <c r="G15" t="s">
        <v>869</v>
      </c>
      <c r="J15" t="s">
        <v>916</v>
      </c>
      <c r="L15" s="37" t="s">
        <v>997</v>
      </c>
      <c r="O15" t="s">
        <v>1003</v>
      </c>
    </row>
    <row r="16" spans="6:15" ht="30" x14ac:dyDescent="0.25">
      <c r="F16" s="15" t="s">
        <v>870</v>
      </c>
      <c r="G16" s="15" t="s">
        <v>914</v>
      </c>
      <c r="J16" t="s">
        <v>917</v>
      </c>
      <c r="L16" t="s">
        <v>914</v>
      </c>
      <c r="O16" t="s">
        <v>1004</v>
      </c>
    </row>
    <row r="17" spans="6:15" ht="30" x14ac:dyDescent="0.25">
      <c r="F17" s="15" t="s">
        <v>907</v>
      </c>
      <c r="G17" t="s">
        <v>915</v>
      </c>
      <c r="J17" t="s">
        <v>918</v>
      </c>
      <c r="L17" t="s">
        <v>1009</v>
      </c>
      <c r="O17" t="s">
        <v>1005</v>
      </c>
    </row>
    <row r="18" spans="6:15" ht="45" x14ac:dyDescent="0.25">
      <c r="F18" s="15" t="s">
        <v>908</v>
      </c>
      <c r="L18" t="s">
        <v>1010</v>
      </c>
    </row>
    <row r="19" spans="6:15" ht="30" x14ac:dyDescent="0.25">
      <c r="F19" s="15" t="s">
        <v>909</v>
      </c>
      <c r="J19" t="s">
        <v>1008</v>
      </c>
      <c r="L19" t="s">
        <v>1011</v>
      </c>
      <c r="O19" t="s">
        <v>999</v>
      </c>
    </row>
    <row r="20" spans="6:15" ht="60" x14ac:dyDescent="0.25">
      <c r="F20" s="15" t="s">
        <v>910</v>
      </c>
      <c r="J20" t="s">
        <v>1004</v>
      </c>
      <c r="L20" t="s">
        <v>1012</v>
      </c>
      <c r="O20" t="s">
        <v>1004</v>
      </c>
    </row>
    <row r="21" spans="6:15" x14ac:dyDescent="0.25">
      <c r="F21" s="15" t="s">
        <v>906</v>
      </c>
      <c r="J21" t="s">
        <v>1005</v>
      </c>
      <c r="L21" t="s">
        <v>1013</v>
      </c>
      <c r="O21" t="s">
        <v>1005</v>
      </c>
    </row>
    <row r="22" spans="6:15" ht="30" x14ac:dyDescent="0.25">
      <c r="F22" s="15" t="s">
        <v>911</v>
      </c>
    </row>
    <row r="23" spans="6:15" ht="30" x14ac:dyDescent="0.25">
      <c r="F23" s="15" t="s">
        <v>912</v>
      </c>
    </row>
  </sheetData>
  <dataValidations count="2">
    <dataValidation type="list" allowBlank="1" showInputMessage="1" showErrorMessage="1" sqref="L16" xr:uid="{77045FD9-D444-43E4-A9E9-59D81545C40E}">
      <formula1>INDIRECT($K$16)</formula1>
    </dataValidation>
    <dataValidation type="list" allowBlank="1" showInputMessage="1" showErrorMessage="1" sqref="K16" xr:uid="{34901500-F0FD-406E-9209-D330CC34407D}">
      <formula1>$F$15:$G$15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 filterMode="1"/>
  <dimension ref="D3:AB190"/>
  <sheetViews>
    <sheetView topLeftCell="M30" zoomScale="130" zoomScaleNormal="130" workbookViewId="0">
      <selection activeCell="S31" sqref="S31"/>
    </sheetView>
  </sheetViews>
  <sheetFormatPr baseColWidth="10" defaultColWidth="8.85546875" defaultRowHeight="15" x14ac:dyDescent="0.25"/>
  <cols>
    <col min="7" max="7" width="16.5703125" customWidth="1"/>
    <col min="8" max="8" width="13.42578125" customWidth="1"/>
    <col min="9" max="13" width="8.85546875" customWidth="1"/>
    <col min="14" max="14" width="13.28515625" customWidth="1"/>
    <col min="15" max="15" width="13.7109375" customWidth="1"/>
    <col min="16" max="18" width="8.85546875" customWidth="1"/>
    <col min="19" max="19" width="9.7109375" customWidth="1"/>
    <col min="20" max="20" width="8.85546875" customWidth="1"/>
    <col min="21" max="21" width="13.140625" customWidth="1"/>
    <col min="22" max="22" width="11.42578125" bestFit="1" customWidth="1"/>
    <col min="23" max="23" width="10.42578125" bestFit="1" customWidth="1"/>
  </cols>
  <sheetData>
    <row r="3" spans="4:28" x14ac:dyDescent="0.25">
      <c r="G3" t="s">
        <v>917</v>
      </c>
    </row>
    <row r="4" spans="4:28" x14ac:dyDescent="0.25">
      <c r="G4" t="s">
        <v>928</v>
      </c>
    </row>
    <row r="5" spans="4:28" ht="15.75" thickBot="1" x14ac:dyDescent="0.3"/>
    <row r="6" spans="4:28" ht="66" customHeight="1" thickBot="1" x14ac:dyDescent="0.3">
      <c r="D6" s="226" t="s">
        <v>0</v>
      </c>
      <c r="E6" s="227"/>
      <c r="F6" s="223" t="s">
        <v>11</v>
      </c>
      <c r="G6" s="223" t="s">
        <v>1</v>
      </c>
      <c r="H6" s="223" t="s">
        <v>2</v>
      </c>
      <c r="I6" s="223" t="s">
        <v>3</v>
      </c>
      <c r="J6" s="223" t="s">
        <v>4</v>
      </c>
      <c r="K6" s="223" t="s">
        <v>6</v>
      </c>
      <c r="L6" s="223" t="s">
        <v>7</v>
      </c>
      <c r="M6" s="223" t="s">
        <v>840</v>
      </c>
      <c r="N6" s="226" t="s">
        <v>8</v>
      </c>
      <c r="O6" s="227"/>
      <c r="P6" s="223" t="s">
        <v>842</v>
      </c>
      <c r="Q6" s="223" t="s">
        <v>843</v>
      </c>
      <c r="R6" s="223" t="s">
        <v>844</v>
      </c>
      <c r="S6" s="223" t="s">
        <v>902</v>
      </c>
      <c r="T6" s="223" t="s">
        <v>873</v>
      </c>
      <c r="U6" s="1" t="s">
        <v>954</v>
      </c>
      <c r="V6" s="223" t="s">
        <v>852</v>
      </c>
      <c r="W6" s="223" t="s">
        <v>853</v>
      </c>
    </row>
    <row r="7" spans="4:28" ht="15.75" hidden="1" thickBot="1" x14ac:dyDescent="0.3">
      <c r="D7" s="228"/>
      <c r="E7" s="229"/>
      <c r="F7" s="224"/>
      <c r="G7" s="224"/>
      <c r="H7" s="224"/>
      <c r="I7" s="224"/>
      <c r="J7" s="224"/>
      <c r="K7" s="224"/>
      <c r="L7" s="224"/>
      <c r="M7" s="224"/>
      <c r="N7" s="228"/>
      <c r="O7" s="229"/>
      <c r="P7" s="224"/>
      <c r="Q7" s="224"/>
      <c r="R7" s="224"/>
      <c r="S7" s="224"/>
      <c r="T7" s="224"/>
      <c r="U7" s="12"/>
      <c r="V7" s="224"/>
      <c r="W7" s="224"/>
    </row>
    <row r="8" spans="4:28" ht="26.45" hidden="1" customHeight="1" x14ac:dyDescent="0.25">
      <c r="D8" s="223" t="s">
        <v>9</v>
      </c>
      <c r="E8" s="223" t="s">
        <v>10</v>
      </c>
      <c r="F8" s="224"/>
      <c r="G8" s="224"/>
      <c r="H8" s="224"/>
      <c r="I8" s="224"/>
      <c r="J8" s="224"/>
      <c r="K8" s="224"/>
      <c r="L8" s="224"/>
      <c r="M8" s="224"/>
      <c r="N8" s="223" t="s">
        <v>841</v>
      </c>
      <c r="O8" s="1" t="s">
        <v>12</v>
      </c>
      <c r="P8" s="224"/>
      <c r="Q8" s="224"/>
      <c r="R8" s="224"/>
      <c r="S8" s="224"/>
      <c r="T8" s="224"/>
      <c r="U8" s="12"/>
      <c r="V8" s="224"/>
      <c r="W8" s="224"/>
    </row>
    <row r="9" spans="4:28" ht="16.5" hidden="1" thickBot="1" x14ac:dyDescent="0.3"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" t="s">
        <v>5</v>
      </c>
      <c r="P9" s="225"/>
      <c r="Q9" s="225"/>
      <c r="R9" s="225"/>
      <c r="S9" s="225"/>
      <c r="T9" s="225"/>
      <c r="U9" s="2"/>
      <c r="V9" s="225"/>
      <c r="W9" s="225"/>
    </row>
    <row r="10" spans="4:28" ht="68.25" hidden="1" thickBot="1" x14ac:dyDescent="0.3">
      <c r="D10" s="3">
        <v>1</v>
      </c>
      <c r="E10" s="3" t="s">
        <v>13</v>
      </c>
      <c r="F10" s="4" t="s">
        <v>14</v>
      </c>
      <c r="G10" s="4" t="s">
        <v>15</v>
      </c>
      <c r="H10" s="4" t="s">
        <v>16</v>
      </c>
      <c r="I10" s="3" t="s">
        <v>17</v>
      </c>
      <c r="J10" s="3" t="s">
        <v>18</v>
      </c>
      <c r="K10" s="3" t="s">
        <v>19</v>
      </c>
      <c r="L10" s="3">
        <v>24</v>
      </c>
      <c r="M10" s="3" t="s">
        <v>20</v>
      </c>
      <c r="N10" s="3" t="s">
        <v>21</v>
      </c>
      <c r="O10" s="3" t="s">
        <v>22</v>
      </c>
      <c r="P10" s="3">
        <v>4750</v>
      </c>
      <c r="Q10" s="3">
        <v>1</v>
      </c>
      <c r="R10" s="3">
        <v>2</v>
      </c>
      <c r="S10" s="14" t="s">
        <v>894</v>
      </c>
      <c r="T10" s="14" t="str">
        <f>+MID(H10,FIND("(",H10),LEN(H10)-FIND("(",H10)+1)</f>
        <v>(10)</v>
      </c>
      <c r="U10" s="14" t="s">
        <v>961</v>
      </c>
      <c r="V10" s="11">
        <f>40000*1/P10</f>
        <v>8.4210526315789469</v>
      </c>
      <c r="W10" s="11">
        <f>5000/P10</f>
        <v>1.0526315789473684</v>
      </c>
    </row>
    <row r="11" spans="4:28" ht="68.25" hidden="1" thickBot="1" x14ac:dyDescent="0.3">
      <c r="D11" s="3">
        <v>1</v>
      </c>
      <c r="E11" s="3" t="s">
        <v>13</v>
      </c>
      <c r="F11" s="4" t="s">
        <v>23</v>
      </c>
      <c r="G11" s="4" t="s">
        <v>24</v>
      </c>
      <c r="H11" s="4" t="s">
        <v>25</v>
      </c>
      <c r="I11" s="3" t="s">
        <v>26</v>
      </c>
      <c r="J11" s="3" t="s">
        <v>27</v>
      </c>
      <c r="K11" s="3" t="s">
        <v>28</v>
      </c>
      <c r="L11" s="3" t="s">
        <v>29</v>
      </c>
      <c r="M11" s="3" t="s">
        <v>30</v>
      </c>
      <c r="N11" s="3" t="s">
        <v>21</v>
      </c>
      <c r="O11" s="3" t="s">
        <v>22</v>
      </c>
      <c r="P11" s="3">
        <v>10900</v>
      </c>
      <c r="Q11" s="3">
        <v>1</v>
      </c>
      <c r="R11" s="3">
        <v>2</v>
      </c>
      <c r="S11" s="14" t="s">
        <v>894</v>
      </c>
      <c r="T11" s="14" t="str">
        <f t="shared" ref="T11:T74" si="0">+MID(H11,FIND("(",H11),LEN(H11)-FIND("(",H11)+1)</f>
        <v>(10)</v>
      </c>
      <c r="U11" s="14" t="s">
        <v>961</v>
      </c>
      <c r="V11" s="11">
        <f t="shared" ref="V11:V74" si="1">40000*1/P11</f>
        <v>3.669724770642202</v>
      </c>
      <c r="W11" s="11">
        <f t="shared" ref="W11:W74" si="2">5000/P11</f>
        <v>0.45871559633027525</v>
      </c>
    </row>
    <row r="12" spans="4:28" ht="68.25" hidden="1" thickBot="1" x14ac:dyDescent="0.3">
      <c r="D12" s="3">
        <v>1</v>
      </c>
      <c r="E12" s="3" t="s">
        <v>13</v>
      </c>
      <c r="F12" s="4" t="s">
        <v>31</v>
      </c>
      <c r="G12" s="4" t="s">
        <v>32</v>
      </c>
      <c r="H12" s="4" t="s">
        <v>33</v>
      </c>
      <c r="I12" s="3" t="s">
        <v>34</v>
      </c>
      <c r="J12" s="3" t="s">
        <v>35</v>
      </c>
      <c r="K12" s="3" t="s">
        <v>36</v>
      </c>
      <c r="L12" s="3" t="s">
        <v>37</v>
      </c>
      <c r="M12" s="3" t="s">
        <v>21</v>
      </c>
      <c r="N12" s="3" t="s">
        <v>21</v>
      </c>
      <c r="O12" s="3" t="s">
        <v>22</v>
      </c>
      <c r="P12" s="3">
        <v>1890</v>
      </c>
      <c r="Q12" s="3">
        <v>3</v>
      </c>
      <c r="R12" s="3">
        <v>2</v>
      </c>
      <c r="S12" s="14" t="s">
        <v>894</v>
      </c>
      <c r="T12" s="14" t="str">
        <f t="shared" si="0"/>
        <v>(10)</v>
      </c>
      <c r="U12" s="14" t="s">
        <v>961</v>
      </c>
      <c r="V12" s="11">
        <f>40000*1/P12</f>
        <v>21.164021164021165</v>
      </c>
      <c r="W12" s="11">
        <f t="shared" si="2"/>
        <v>2.6455026455026456</v>
      </c>
    </row>
    <row r="13" spans="4:28" ht="68.25" hidden="1" thickBot="1" x14ac:dyDescent="0.3">
      <c r="D13" s="3">
        <v>1</v>
      </c>
      <c r="E13" s="3" t="s">
        <v>13</v>
      </c>
      <c r="F13" s="4" t="s">
        <v>38</v>
      </c>
      <c r="G13" s="4" t="s">
        <v>39</v>
      </c>
      <c r="H13" s="4" t="s">
        <v>40</v>
      </c>
      <c r="I13" s="3" t="s">
        <v>41</v>
      </c>
      <c r="J13" s="3" t="s">
        <v>42</v>
      </c>
      <c r="K13" s="3" t="s">
        <v>28</v>
      </c>
      <c r="L13" s="3" t="s">
        <v>43</v>
      </c>
      <c r="M13" s="3" t="s">
        <v>21</v>
      </c>
      <c r="N13" s="3" t="s">
        <v>21</v>
      </c>
      <c r="O13" s="3" t="s">
        <v>22</v>
      </c>
      <c r="P13" s="3">
        <v>14400</v>
      </c>
      <c r="Q13" s="3">
        <v>1</v>
      </c>
      <c r="R13" s="3">
        <v>2</v>
      </c>
      <c r="S13" s="14" t="s">
        <v>894</v>
      </c>
      <c r="T13" s="14" t="str">
        <f t="shared" si="0"/>
        <v>(10)</v>
      </c>
      <c r="U13" s="14" t="s">
        <v>961</v>
      </c>
      <c r="V13" s="11">
        <f t="shared" si="1"/>
        <v>2.7777777777777777</v>
      </c>
      <c r="W13" s="11">
        <f t="shared" si="2"/>
        <v>0.34722222222222221</v>
      </c>
    </row>
    <row r="14" spans="4:28" ht="68.25" hidden="1" thickBot="1" x14ac:dyDescent="0.3">
      <c r="D14" s="3">
        <v>1</v>
      </c>
      <c r="E14" s="3" t="s">
        <v>13</v>
      </c>
      <c r="F14" s="4" t="s">
        <v>44</v>
      </c>
      <c r="G14" s="4" t="s">
        <v>45</v>
      </c>
      <c r="H14" s="4" t="s">
        <v>46</v>
      </c>
      <c r="I14" s="3" t="s">
        <v>47</v>
      </c>
      <c r="J14" s="3" t="s">
        <v>48</v>
      </c>
      <c r="K14" s="3" t="s">
        <v>49</v>
      </c>
      <c r="L14" s="3" t="s">
        <v>50</v>
      </c>
      <c r="M14" s="3" t="s">
        <v>21</v>
      </c>
      <c r="N14" s="3" t="s">
        <v>21</v>
      </c>
      <c r="O14" s="3" t="s">
        <v>22</v>
      </c>
      <c r="P14" s="3">
        <v>7140</v>
      </c>
      <c r="Q14" s="3">
        <v>10</v>
      </c>
      <c r="R14" s="3">
        <v>2</v>
      </c>
      <c r="S14" s="14" t="s">
        <v>894</v>
      </c>
      <c r="T14" s="14" t="str">
        <f t="shared" si="0"/>
        <v>(10)</v>
      </c>
      <c r="U14" s="14" t="s">
        <v>961</v>
      </c>
      <c r="V14" s="11">
        <f t="shared" si="1"/>
        <v>5.6022408963585431</v>
      </c>
      <c r="W14" s="11">
        <f t="shared" si="2"/>
        <v>0.70028011204481788</v>
      </c>
    </row>
    <row r="15" spans="4:28" ht="15.75" hidden="1" thickBot="1" x14ac:dyDescent="0.3">
      <c r="D15" s="3">
        <v>1</v>
      </c>
      <c r="E15" s="3" t="s">
        <v>13</v>
      </c>
      <c r="F15" s="4" t="s">
        <v>51</v>
      </c>
      <c r="G15" s="4" t="s">
        <v>52</v>
      </c>
      <c r="H15" s="4" t="s">
        <v>874</v>
      </c>
      <c r="I15" s="3" t="s">
        <v>53</v>
      </c>
      <c r="J15" s="3" t="s">
        <v>54</v>
      </c>
      <c r="K15" s="3" t="s">
        <v>55</v>
      </c>
      <c r="L15" s="3" t="s">
        <v>56</v>
      </c>
      <c r="M15" s="3" t="s">
        <v>57</v>
      </c>
      <c r="N15" s="3" t="s">
        <v>21</v>
      </c>
      <c r="O15" s="3" t="s">
        <v>22</v>
      </c>
      <c r="P15" s="3">
        <v>7390</v>
      </c>
      <c r="Q15" s="3">
        <v>0</v>
      </c>
      <c r="R15" s="3">
        <v>2</v>
      </c>
      <c r="S15" s="14" t="s">
        <v>895</v>
      </c>
      <c r="T15" s="14" t="str">
        <f t="shared" si="0"/>
        <v>(11)</v>
      </c>
      <c r="U15" s="14" t="s">
        <v>955</v>
      </c>
      <c r="V15" s="11">
        <f t="shared" si="1"/>
        <v>5.4127198917456019</v>
      </c>
      <c r="W15" s="11">
        <f t="shared" si="2"/>
        <v>0.67658998646820023</v>
      </c>
    </row>
    <row r="16" spans="4:28" ht="68.25" hidden="1" thickBot="1" x14ac:dyDescent="0.3">
      <c r="D16" s="3">
        <v>1</v>
      </c>
      <c r="E16" s="3" t="s">
        <v>13</v>
      </c>
      <c r="F16" s="4" t="s">
        <v>58</v>
      </c>
      <c r="G16" s="4" t="s">
        <v>59</v>
      </c>
      <c r="H16" s="4" t="s">
        <v>60</v>
      </c>
      <c r="I16" s="3" t="s">
        <v>61</v>
      </c>
      <c r="J16" s="3" t="s">
        <v>62</v>
      </c>
      <c r="K16" s="3" t="s">
        <v>19</v>
      </c>
      <c r="L16" s="3" t="s">
        <v>63</v>
      </c>
      <c r="M16" s="3">
        <v>0.21</v>
      </c>
      <c r="N16" s="3">
        <v>635</v>
      </c>
      <c r="O16" s="3" t="s">
        <v>22</v>
      </c>
      <c r="P16" s="3">
        <v>1810</v>
      </c>
      <c r="Q16" s="3">
        <v>5.5E-2</v>
      </c>
      <c r="R16" s="3">
        <v>2</v>
      </c>
      <c r="S16" s="14" t="s">
        <v>894</v>
      </c>
      <c r="T16" s="14" t="str">
        <f t="shared" si="0"/>
        <v>(10)</v>
      </c>
      <c r="U16" s="14" t="s">
        <v>961</v>
      </c>
      <c r="V16" s="11">
        <f t="shared" si="1"/>
        <v>22.099447513812155</v>
      </c>
      <c r="W16" s="11">
        <f t="shared" si="2"/>
        <v>2.7624309392265194</v>
      </c>
      <c r="AA16" t="s">
        <v>64</v>
      </c>
      <c r="AB16">
        <v>2.7027027027027026</v>
      </c>
    </row>
    <row r="17" spans="4:28" ht="15.75" hidden="1" thickBot="1" x14ac:dyDescent="0.3">
      <c r="D17" s="3">
        <v>1</v>
      </c>
      <c r="E17" s="3" t="s">
        <v>13</v>
      </c>
      <c r="F17" s="4" t="s">
        <v>64</v>
      </c>
      <c r="G17" s="4" t="s">
        <v>65</v>
      </c>
      <c r="H17" s="4" t="s">
        <v>66</v>
      </c>
      <c r="I17" s="3" t="s">
        <v>67</v>
      </c>
      <c r="J17" s="3" t="s">
        <v>68</v>
      </c>
      <c r="K17" s="3" t="s">
        <v>69</v>
      </c>
      <c r="L17" s="3" t="s">
        <v>70</v>
      </c>
      <c r="M17" s="3" t="s">
        <v>71</v>
      </c>
      <c r="N17" s="3">
        <v>765</v>
      </c>
      <c r="O17" s="3" t="s">
        <v>22</v>
      </c>
      <c r="P17" s="3">
        <v>14800</v>
      </c>
      <c r="Q17" s="3">
        <v>0</v>
      </c>
      <c r="R17" s="3">
        <v>2</v>
      </c>
      <c r="S17" s="14" t="s">
        <v>895</v>
      </c>
      <c r="T17" s="14" t="str">
        <f t="shared" si="0"/>
        <v>(11)</v>
      </c>
      <c r="U17" s="14" t="s">
        <v>956</v>
      </c>
      <c r="V17" s="11">
        <f t="shared" si="1"/>
        <v>2.7027027027027026</v>
      </c>
      <c r="W17" s="11">
        <f t="shared" si="2"/>
        <v>0.33783783783783783</v>
      </c>
    </row>
    <row r="18" spans="4:28" ht="68.25" hidden="1" thickBot="1" x14ac:dyDescent="0.3">
      <c r="D18" s="3">
        <v>1</v>
      </c>
      <c r="E18" s="3" t="s">
        <v>13</v>
      </c>
      <c r="F18" s="4" t="s">
        <v>72</v>
      </c>
      <c r="G18" s="4" t="s">
        <v>73</v>
      </c>
      <c r="H18" s="4" t="s">
        <v>74</v>
      </c>
      <c r="I18" s="3" t="s">
        <v>75</v>
      </c>
      <c r="J18" s="3" t="s">
        <v>76</v>
      </c>
      <c r="K18" s="3" t="s">
        <v>55</v>
      </c>
      <c r="L18" s="3">
        <v>48</v>
      </c>
      <c r="M18" s="3" t="s">
        <v>36</v>
      </c>
      <c r="N18" s="3" t="s">
        <v>21</v>
      </c>
      <c r="O18" s="3" t="s">
        <v>22</v>
      </c>
      <c r="P18" s="3">
        <v>6130</v>
      </c>
      <c r="Q18" s="3">
        <v>0.8</v>
      </c>
      <c r="R18" s="3">
        <v>2</v>
      </c>
      <c r="S18" s="14" t="s">
        <v>894</v>
      </c>
      <c r="T18" s="14" t="str">
        <f t="shared" si="0"/>
        <v>(10)</v>
      </c>
      <c r="U18" s="14" t="s">
        <v>961</v>
      </c>
      <c r="V18" s="11">
        <f t="shared" si="1"/>
        <v>6.5252854812398047</v>
      </c>
      <c r="W18" s="11">
        <f t="shared" si="2"/>
        <v>0.81566068515497558</v>
      </c>
      <c r="AA18" t="s">
        <v>105</v>
      </c>
      <c r="AB18">
        <v>11.428571428571429</v>
      </c>
    </row>
    <row r="19" spans="4:28" ht="68.25" hidden="1" thickBot="1" x14ac:dyDescent="0.3">
      <c r="D19" s="3">
        <v>1</v>
      </c>
      <c r="E19" s="3" t="s">
        <v>13</v>
      </c>
      <c r="F19" s="4" t="s">
        <v>77</v>
      </c>
      <c r="G19" s="4" t="s">
        <v>78</v>
      </c>
      <c r="H19" s="4" t="s">
        <v>79</v>
      </c>
      <c r="I19" s="3" t="s">
        <v>80</v>
      </c>
      <c r="J19" s="3" t="s">
        <v>81</v>
      </c>
      <c r="K19" s="3" t="s">
        <v>82</v>
      </c>
      <c r="L19" s="3">
        <v>4</v>
      </c>
      <c r="M19" s="3" t="s">
        <v>83</v>
      </c>
      <c r="N19" s="3" t="s">
        <v>21</v>
      </c>
      <c r="O19" s="3" t="s">
        <v>22</v>
      </c>
      <c r="P19" s="3">
        <v>10000</v>
      </c>
      <c r="Q19" s="3">
        <v>1</v>
      </c>
      <c r="R19" s="3">
        <v>2</v>
      </c>
      <c r="S19" s="14" t="s">
        <v>894</v>
      </c>
      <c r="T19" s="14" t="str">
        <f t="shared" si="0"/>
        <v>(10)</v>
      </c>
      <c r="U19" s="14" t="s">
        <v>961</v>
      </c>
      <c r="V19" s="11">
        <f t="shared" si="1"/>
        <v>4</v>
      </c>
      <c r="W19" s="11">
        <f t="shared" si="2"/>
        <v>0.5</v>
      </c>
      <c r="AA19" t="s">
        <v>120</v>
      </c>
      <c r="AB19">
        <v>4.5300113250283127</v>
      </c>
    </row>
    <row r="20" spans="4:28" ht="68.25" hidden="1" thickBot="1" x14ac:dyDescent="0.3">
      <c r="D20" s="3">
        <v>1</v>
      </c>
      <c r="E20" s="3" t="s">
        <v>13</v>
      </c>
      <c r="F20" s="4" t="s">
        <v>84</v>
      </c>
      <c r="G20" s="4" t="s">
        <v>85</v>
      </c>
      <c r="H20" s="4" t="s">
        <v>86</v>
      </c>
      <c r="I20" s="3" t="s">
        <v>87</v>
      </c>
      <c r="J20" s="3" t="s">
        <v>88</v>
      </c>
      <c r="K20" s="3" t="s">
        <v>89</v>
      </c>
      <c r="L20" s="3" t="s">
        <v>90</v>
      </c>
      <c r="M20" s="3" t="s">
        <v>89</v>
      </c>
      <c r="N20" s="3" t="s">
        <v>21</v>
      </c>
      <c r="O20" s="3" t="s">
        <v>22</v>
      </c>
      <c r="P20" s="3">
        <v>7370</v>
      </c>
      <c r="Q20" s="3">
        <v>0.6</v>
      </c>
      <c r="R20" s="3">
        <v>2</v>
      </c>
      <c r="S20" s="14" t="s">
        <v>894</v>
      </c>
      <c r="T20" s="14" t="str">
        <f t="shared" si="0"/>
        <v>(10)</v>
      </c>
      <c r="U20" s="14" t="s">
        <v>961</v>
      </c>
      <c r="V20" s="11">
        <f t="shared" si="1"/>
        <v>5.4274084124830395</v>
      </c>
      <c r="W20" s="11">
        <f t="shared" si="2"/>
        <v>0.67842605156037994</v>
      </c>
      <c r="AA20" t="s">
        <v>128</v>
      </c>
      <c r="AB20">
        <v>12.422360248447205</v>
      </c>
    </row>
    <row r="21" spans="4:28" ht="15.75" hidden="1" thickBot="1" x14ac:dyDescent="0.3">
      <c r="D21" s="3">
        <v>1</v>
      </c>
      <c r="E21" s="3" t="s">
        <v>13</v>
      </c>
      <c r="F21" s="4" t="s">
        <v>91</v>
      </c>
      <c r="G21" s="4" t="s">
        <v>92</v>
      </c>
      <c r="H21" s="4" t="s">
        <v>93</v>
      </c>
      <c r="I21" s="3" t="s">
        <v>94</v>
      </c>
      <c r="J21" s="3" t="s">
        <v>95</v>
      </c>
      <c r="K21" s="3" t="s">
        <v>69</v>
      </c>
      <c r="L21" s="3" t="s">
        <v>96</v>
      </c>
      <c r="M21" s="3" t="s">
        <v>69</v>
      </c>
      <c r="N21" s="3" t="s">
        <v>21</v>
      </c>
      <c r="O21" s="3" t="s">
        <v>22</v>
      </c>
      <c r="P21" s="3">
        <v>12200</v>
      </c>
      <c r="Q21" s="3">
        <v>0</v>
      </c>
      <c r="R21" s="3">
        <v>2</v>
      </c>
      <c r="S21" s="14" t="s">
        <v>895</v>
      </c>
      <c r="T21" s="14" t="str">
        <f t="shared" si="0"/>
        <v>(11)</v>
      </c>
      <c r="U21" s="14" t="s">
        <v>955</v>
      </c>
      <c r="V21" s="11">
        <f t="shared" si="1"/>
        <v>3.278688524590164</v>
      </c>
      <c r="W21" s="11">
        <f t="shared" si="2"/>
        <v>0.4098360655737705</v>
      </c>
    </row>
    <row r="22" spans="4:28" ht="68.25" hidden="1" thickBot="1" x14ac:dyDescent="0.3">
      <c r="D22" s="3">
        <v>1</v>
      </c>
      <c r="E22" s="3" t="s">
        <v>13</v>
      </c>
      <c r="F22" s="4" t="s">
        <v>97</v>
      </c>
      <c r="G22" s="4" t="s">
        <v>98</v>
      </c>
      <c r="H22" s="4" t="s">
        <v>99</v>
      </c>
      <c r="I22" s="3" t="s">
        <v>100</v>
      </c>
      <c r="J22" s="3" t="s">
        <v>101</v>
      </c>
      <c r="K22" s="3" t="s">
        <v>102</v>
      </c>
      <c r="L22" s="3" t="s">
        <v>103</v>
      </c>
      <c r="M22" s="3" t="s">
        <v>104</v>
      </c>
      <c r="N22" s="3" t="s">
        <v>21</v>
      </c>
      <c r="O22" s="3" t="s">
        <v>22</v>
      </c>
      <c r="P22" s="3">
        <v>609</v>
      </c>
      <c r="Q22" s="3">
        <v>2.1999999999999999E-2</v>
      </c>
      <c r="R22" s="3">
        <v>2</v>
      </c>
      <c r="S22" s="14" t="s">
        <v>894</v>
      </c>
      <c r="T22" s="14" t="str">
        <f t="shared" si="0"/>
        <v>(10)</v>
      </c>
      <c r="U22" s="14" t="s">
        <v>961</v>
      </c>
      <c r="V22" s="11">
        <f t="shared" si="1"/>
        <v>65.681444991789817</v>
      </c>
      <c r="W22" s="11">
        <f t="shared" si="2"/>
        <v>8.2101806239737272</v>
      </c>
      <c r="AA22" t="s">
        <v>149</v>
      </c>
      <c r="AB22">
        <v>3.883495145631068</v>
      </c>
    </row>
    <row r="23" spans="4:28" ht="15.75" hidden="1" thickBot="1" x14ac:dyDescent="0.3">
      <c r="D23" s="3">
        <v>1</v>
      </c>
      <c r="E23" s="3" t="s">
        <v>13</v>
      </c>
      <c r="F23" s="4" t="s">
        <v>105</v>
      </c>
      <c r="G23" s="4" t="s">
        <v>106</v>
      </c>
      <c r="H23" s="4" t="s">
        <v>875</v>
      </c>
      <c r="I23" s="3" t="s">
        <v>107</v>
      </c>
      <c r="J23" s="3" t="s">
        <v>108</v>
      </c>
      <c r="K23" s="3" t="s">
        <v>109</v>
      </c>
      <c r="L23" s="3" t="s">
        <v>110</v>
      </c>
      <c r="M23" s="3" t="s">
        <v>111</v>
      </c>
      <c r="N23" s="3">
        <v>733</v>
      </c>
      <c r="O23" s="3" t="s">
        <v>22</v>
      </c>
      <c r="P23" s="3">
        <v>3500</v>
      </c>
      <c r="Q23" s="3">
        <v>0</v>
      </c>
      <c r="R23" s="3">
        <v>2</v>
      </c>
      <c r="S23" s="14" t="s">
        <v>895</v>
      </c>
      <c r="T23" s="14" t="str">
        <f t="shared" si="0"/>
        <v>(11)</v>
      </c>
      <c r="U23" s="14" t="s">
        <v>956</v>
      </c>
      <c r="V23" s="11">
        <f t="shared" si="1"/>
        <v>11.428571428571429</v>
      </c>
      <c r="W23" s="11">
        <f t="shared" si="2"/>
        <v>1.4285714285714286</v>
      </c>
    </row>
    <row r="24" spans="4:28" ht="15.75" hidden="1" thickBot="1" x14ac:dyDescent="0.3">
      <c r="D24" s="3">
        <v>1</v>
      </c>
      <c r="E24" s="3" t="s">
        <v>13</v>
      </c>
      <c r="F24" s="4" t="s">
        <v>112</v>
      </c>
      <c r="G24" s="4" t="s">
        <v>113</v>
      </c>
      <c r="H24" s="4" t="s">
        <v>114</v>
      </c>
      <c r="I24" s="3" t="s">
        <v>115</v>
      </c>
      <c r="J24" s="3" t="s">
        <v>116</v>
      </c>
      <c r="K24" s="3" t="s">
        <v>117</v>
      </c>
      <c r="L24" s="3" t="s">
        <v>118</v>
      </c>
      <c r="M24" s="3" t="s">
        <v>119</v>
      </c>
      <c r="N24" s="3">
        <v>743</v>
      </c>
      <c r="O24" s="3" t="s">
        <v>22</v>
      </c>
      <c r="P24" s="3">
        <v>1430</v>
      </c>
      <c r="Q24" s="3">
        <v>0</v>
      </c>
      <c r="R24" s="3">
        <v>2</v>
      </c>
      <c r="S24" s="14" t="s">
        <v>895</v>
      </c>
      <c r="T24" s="14" t="str">
        <f t="shared" si="0"/>
        <v>(11)</v>
      </c>
      <c r="U24" s="14" t="s">
        <v>956</v>
      </c>
      <c r="V24" s="11">
        <f t="shared" si="1"/>
        <v>27.972027972027973</v>
      </c>
      <c r="W24" s="11">
        <f t="shared" si="2"/>
        <v>3.4965034965034967</v>
      </c>
      <c r="AA24" t="s">
        <v>200</v>
      </c>
      <c r="AB24">
        <v>3.0280090840272522</v>
      </c>
    </row>
    <row r="25" spans="4:28" ht="15.75" hidden="1" thickBot="1" x14ac:dyDescent="0.3">
      <c r="D25" s="3">
        <v>1</v>
      </c>
      <c r="E25" s="3" t="s">
        <v>13</v>
      </c>
      <c r="F25" s="4" t="s">
        <v>120</v>
      </c>
      <c r="G25" s="4" t="s">
        <v>121</v>
      </c>
      <c r="H25" s="4" t="s">
        <v>122</v>
      </c>
      <c r="I25" s="3" t="s">
        <v>123</v>
      </c>
      <c r="J25" s="3" t="s">
        <v>124</v>
      </c>
      <c r="K25" s="3" t="s">
        <v>125</v>
      </c>
      <c r="L25" s="3" t="s">
        <v>126</v>
      </c>
      <c r="M25" s="3" t="s">
        <v>127</v>
      </c>
      <c r="N25" s="3" t="s">
        <v>21</v>
      </c>
      <c r="O25" s="3" t="s">
        <v>22</v>
      </c>
      <c r="P25" s="3">
        <v>8830</v>
      </c>
      <c r="Q25" s="3">
        <v>0</v>
      </c>
      <c r="R25" s="3">
        <v>2</v>
      </c>
      <c r="S25" s="14" t="s">
        <v>895</v>
      </c>
      <c r="T25" s="14" t="str">
        <f t="shared" si="0"/>
        <v>(11)</v>
      </c>
      <c r="U25" s="14" t="s">
        <v>955</v>
      </c>
      <c r="V25" s="11">
        <f t="shared" si="1"/>
        <v>4.5300113250283127</v>
      </c>
      <c r="W25" s="11">
        <f t="shared" si="2"/>
        <v>0.56625141562853909</v>
      </c>
    </row>
    <row r="26" spans="4:28" ht="27.75" hidden="1" thickBot="1" x14ac:dyDescent="0.3">
      <c r="D26" s="3">
        <v>1</v>
      </c>
      <c r="E26" s="3" t="s">
        <v>13</v>
      </c>
      <c r="F26" s="4" t="s">
        <v>128</v>
      </c>
      <c r="G26" s="4" t="s">
        <v>129</v>
      </c>
      <c r="H26" s="4" t="s">
        <v>130</v>
      </c>
      <c r="I26" s="3" t="s">
        <v>131</v>
      </c>
      <c r="J26" s="3" t="s">
        <v>132</v>
      </c>
      <c r="K26" s="3" t="s">
        <v>133</v>
      </c>
      <c r="L26" s="3" t="s">
        <v>134</v>
      </c>
      <c r="M26" s="3" t="s">
        <v>133</v>
      </c>
      <c r="N26" s="3" t="s">
        <v>21</v>
      </c>
      <c r="O26" s="3" t="s">
        <v>22</v>
      </c>
      <c r="P26" s="3">
        <v>3220</v>
      </c>
      <c r="Q26" s="3">
        <v>0</v>
      </c>
      <c r="R26" s="3">
        <v>2</v>
      </c>
      <c r="S26" s="14" t="s">
        <v>895</v>
      </c>
      <c r="T26" s="14" t="str">
        <f t="shared" si="0"/>
        <v>(11)</v>
      </c>
      <c r="U26" s="14" t="s">
        <v>956</v>
      </c>
      <c r="V26" s="11">
        <f t="shared" si="1"/>
        <v>12.422360248447205</v>
      </c>
      <c r="W26" s="11">
        <f t="shared" si="2"/>
        <v>1.5527950310559007</v>
      </c>
    </row>
    <row r="27" spans="4:28" ht="27.75" hidden="1" thickBot="1" x14ac:dyDescent="0.3">
      <c r="D27" s="3">
        <v>1</v>
      </c>
      <c r="E27" s="3" t="s">
        <v>13</v>
      </c>
      <c r="F27" s="4" t="s">
        <v>135</v>
      </c>
      <c r="G27" s="4" t="s">
        <v>136</v>
      </c>
      <c r="H27" s="4" t="s">
        <v>137</v>
      </c>
      <c r="I27" s="3" t="s">
        <v>138</v>
      </c>
      <c r="J27" s="3" t="s">
        <v>139</v>
      </c>
      <c r="K27" s="3" t="s">
        <v>140</v>
      </c>
      <c r="L27" s="3" t="s">
        <v>141</v>
      </c>
      <c r="M27" s="3" t="s">
        <v>142</v>
      </c>
      <c r="N27" s="3" t="s">
        <v>21</v>
      </c>
      <c r="O27" s="3" t="s">
        <v>22</v>
      </c>
      <c r="P27" s="3">
        <v>9810</v>
      </c>
      <c r="Q27" s="3">
        <v>0</v>
      </c>
      <c r="R27" s="3">
        <v>2</v>
      </c>
      <c r="S27" s="14" t="s">
        <v>895</v>
      </c>
      <c r="T27" s="14" t="str">
        <f t="shared" si="0"/>
        <v>(11)</v>
      </c>
      <c r="U27" s="14" t="s">
        <v>956</v>
      </c>
      <c r="V27" s="11">
        <f t="shared" si="1"/>
        <v>4.077471967380224</v>
      </c>
      <c r="W27" s="11">
        <f t="shared" si="2"/>
        <v>0.509683995922528</v>
      </c>
    </row>
    <row r="28" spans="4:28" ht="27.75" hidden="1" thickBot="1" x14ac:dyDescent="0.3">
      <c r="D28" s="3">
        <v>1</v>
      </c>
      <c r="E28" s="3" t="s">
        <v>13</v>
      </c>
      <c r="F28" s="4" t="s">
        <v>143</v>
      </c>
      <c r="G28" s="4" t="s">
        <v>144</v>
      </c>
      <c r="H28" s="4" t="s">
        <v>896</v>
      </c>
      <c r="I28" s="3" t="s">
        <v>145</v>
      </c>
      <c r="J28" s="3" t="s">
        <v>146</v>
      </c>
      <c r="K28" s="3" t="s">
        <v>147</v>
      </c>
      <c r="L28" s="3" t="s">
        <v>148</v>
      </c>
      <c r="M28" s="3" t="s">
        <v>147</v>
      </c>
      <c r="N28" s="3" t="s">
        <v>21</v>
      </c>
      <c r="O28" s="3" t="s">
        <v>22</v>
      </c>
      <c r="P28" s="3">
        <v>4.5</v>
      </c>
      <c r="Q28" s="3">
        <v>0</v>
      </c>
      <c r="R28" s="3">
        <v>2</v>
      </c>
      <c r="S28" s="14" t="s">
        <v>895</v>
      </c>
      <c r="T28" s="14" t="str">
        <f t="shared" si="0"/>
        <v>(11)</v>
      </c>
      <c r="U28" s="14" t="s">
        <v>957</v>
      </c>
      <c r="V28" s="11">
        <f t="shared" si="1"/>
        <v>8888.8888888888887</v>
      </c>
      <c r="W28" s="11">
        <f t="shared" si="2"/>
        <v>1111.1111111111111</v>
      </c>
      <c r="AA28" t="s">
        <v>397</v>
      </c>
      <c r="AB28">
        <v>13.214403700033037</v>
      </c>
    </row>
    <row r="29" spans="4:28" ht="15.75" hidden="1" thickBot="1" x14ac:dyDescent="0.3">
      <c r="D29" s="3">
        <v>1</v>
      </c>
      <c r="E29" s="3" t="s">
        <v>13</v>
      </c>
      <c r="F29" s="4" t="s">
        <v>149</v>
      </c>
      <c r="G29" s="4" t="s">
        <v>150</v>
      </c>
      <c r="H29" s="4" t="s">
        <v>151</v>
      </c>
      <c r="I29" s="3" t="s">
        <v>152</v>
      </c>
      <c r="J29" s="3" t="s">
        <v>153</v>
      </c>
      <c r="K29" s="3" t="s">
        <v>154</v>
      </c>
      <c r="L29" s="3" t="s">
        <v>155</v>
      </c>
      <c r="M29" s="3" t="s">
        <v>156</v>
      </c>
      <c r="N29" s="3" t="s">
        <v>21</v>
      </c>
      <c r="O29" s="3" t="s">
        <v>22</v>
      </c>
      <c r="P29" s="3">
        <v>10300</v>
      </c>
      <c r="Q29" s="3">
        <v>0</v>
      </c>
      <c r="R29" s="3">
        <v>2</v>
      </c>
      <c r="S29" s="14" t="s">
        <v>895</v>
      </c>
      <c r="T29" s="14" t="str">
        <f t="shared" si="0"/>
        <v>(11)</v>
      </c>
      <c r="U29" s="14" t="s">
        <v>955</v>
      </c>
      <c r="V29" s="11">
        <f t="shared" si="1"/>
        <v>3.883495145631068</v>
      </c>
      <c r="W29" s="11">
        <f t="shared" si="2"/>
        <v>0.4854368932038835</v>
      </c>
    </row>
    <row r="30" spans="4:28" ht="68.25" thickBot="1" x14ac:dyDescent="0.3">
      <c r="D30" s="3">
        <v>1</v>
      </c>
      <c r="E30" s="3" t="s">
        <v>13</v>
      </c>
      <c r="F30" s="4" t="s">
        <v>157</v>
      </c>
      <c r="G30" s="4" t="s">
        <v>158</v>
      </c>
      <c r="H30" s="4" t="s">
        <v>159</v>
      </c>
      <c r="I30" s="3" t="s">
        <v>160</v>
      </c>
      <c r="J30" s="3" t="s">
        <v>161</v>
      </c>
      <c r="K30" s="3" t="s">
        <v>55</v>
      </c>
      <c r="L30" s="3" t="s">
        <v>162</v>
      </c>
      <c r="M30" s="3" t="s">
        <v>163</v>
      </c>
      <c r="N30" s="3" t="s">
        <v>21</v>
      </c>
      <c r="O30" s="3" t="s">
        <v>22</v>
      </c>
      <c r="P30" s="3">
        <v>8077</v>
      </c>
      <c r="Q30" s="3">
        <v>0.74</v>
      </c>
      <c r="R30" s="3">
        <v>2</v>
      </c>
      <c r="S30" s="14" t="s">
        <v>897</v>
      </c>
      <c r="T30" s="14" t="str">
        <f t="shared" si="0"/>
        <v>(10;11)</v>
      </c>
      <c r="U30" s="14" t="s">
        <v>961</v>
      </c>
      <c r="V30" s="11">
        <f t="shared" si="1"/>
        <v>4.9523337872972641</v>
      </c>
      <c r="W30" s="11">
        <f t="shared" si="2"/>
        <v>0.61904172341215802</v>
      </c>
      <c r="AA30" t="s">
        <v>422</v>
      </c>
      <c r="AB30">
        <v>15.203344735841885</v>
      </c>
    </row>
    <row r="31" spans="4:28" ht="68.25" thickBot="1" x14ac:dyDescent="0.3">
      <c r="D31" s="3">
        <v>1</v>
      </c>
      <c r="E31" s="3" t="s">
        <v>13</v>
      </c>
      <c r="F31" s="4" t="s">
        <v>164</v>
      </c>
      <c r="G31" s="4" t="s">
        <v>165</v>
      </c>
      <c r="H31" s="4" t="s">
        <v>166</v>
      </c>
      <c r="I31" s="3" t="s">
        <v>167</v>
      </c>
      <c r="J31" s="3" t="s">
        <v>168</v>
      </c>
      <c r="K31" s="3" t="s">
        <v>169</v>
      </c>
      <c r="L31" s="3" t="s">
        <v>170</v>
      </c>
      <c r="M31" s="3" t="s">
        <v>119</v>
      </c>
      <c r="N31" s="3" t="s">
        <v>21</v>
      </c>
      <c r="O31" s="3" t="s">
        <v>22</v>
      </c>
      <c r="P31" s="3">
        <v>4083</v>
      </c>
      <c r="Q31" s="3">
        <v>0.28999999999999998</v>
      </c>
      <c r="R31" s="3">
        <v>2</v>
      </c>
      <c r="S31" s="14" t="s">
        <v>897</v>
      </c>
      <c r="T31" s="14" t="str">
        <f t="shared" si="0"/>
        <v>(10;11)</v>
      </c>
      <c r="U31" s="14" t="s">
        <v>961</v>
      </c>
      <c r="V31" s="11">
        <f t="shared" si="1"/>
        <v>9.7967180994366885</v>
      </c>
      <c r="W31" s="11">
        <f t="shared" si="2"/>
        <v>1.2245897624295861</v>
      </c>
      <c r="AA31" t="s">
        <v>429</v>
      </c>
      <c r="AB31">
        <v>12.539184952978056</v>
      </c>
    </row>
    <row r="32" spans="4:28" ht="68.25" thickBot="1" x14ac:dyDescent="0.3">
      <c r="D32" s="3">
        <v>1</v>
      </c>
      <c r="E32" s="3" t="s">
        <v>13</v>
      </c>
      <c r="F32" s="4" t="s">
        <v>172</v>
      </c>
      <c r="G32" s="4" t="s">
        <v>173</v>
      </c>
      <c r="H32" s="4" t="s">
        <v>174</v>
      </c>
      <c r="I32" s="3">
        <v>112</v>
      </c>
      <c r="J32" s="3" t="s">
        <v>175</v>
      </c>
      <c r="K32" s="3" t="s">
        <v>176</v>
      </c>
      <c r="L32" s="3" t="s">
        <v>177</v>
      </c>
      <c r="M32" s="3" t="s">
        <v>178</v>
      </c>
      <c r="N32" s="3" t="s">
        <v>21</v>
      </c>
      <c r="O32" s="3" t="s">
        <v>22</v>
      </c>
      <c r="P32" s="3">
        <v>4657</v>
      </c>
      <c r="Q32" s="3">
        <v>0.33</v>
      </c>
      <c r="R32" s="3">
        <v>2</v>
      </c>
      <c r="S32" s="14" t="s">
        <v>897</v>
      </c>
      <c r="T32" s="14" t="str">
        <f t="shared" si="0"/>
        <v>(10;11)</v>
      </c>
      <c r="U32" s="14" t="s">
        <v>961</v>
      </c>
      <c r="V32" s="11">
        <f t="shared" si="1"/>
        <v>8.5892205282370622</v>
      </c>
      <c r="W32" s="11">
        <f t="shared" si="2"/>
        <v>1.0736525660296328</v>
      </c>
      <c r="AA32" t="s">
        <v>434</v>
      </c>
      <c r="AB32">
        <v>12.726694241170856</v>
      </c>
    </row>
    <row r="33" spans="4:28" ht="68.25" thickBot="1" x14ac:dyDescent="0.3">
      <c r="D33" s="3">
        <v>1</v>
      </c>
      <c r="E33" s="3" t="s">
        <v>13</v>
      </c>
      <c r="F33" s="4" t="s">
        <v>179</v>
      </c>
      <c r="G33" s="4" t="s">
        <v>180</v>
      </c>
      <c r="H33" s="4" t="s">
        <v>181</v>
      </c>
      <c r="I33" s="3" t="s">
        <v>182</v>
      </c>
      <c r="J33" s="3" t="s">
        <v>183</v>
      </c>
      <c r="K33" s="3" t="s">
        <v>184</v>
      </c>
      <c r="L33" s="3" t="s">
        <v>185</v>
      </c>
      <c r="M33" s="3" t="s">
        <v>21</v>
      </c>
      <c r="N33" s="3" t="s">
        <v>21</v>
      </c>
      <c r="O33" s="3" t="s">
        <v>21</v>
      </c>
      <c r="P33" s="3">
        <v>14560</v>
      </c>
      <c r="Q33" s="3">
        <v>0.6</v>
      </c>
      <c r="R33" s="3">
        <v>2</v>
      </c>
      <c r="S33" s="14" t="s">
        <v>897</v>
      </c>
      <c r="T33" s="14" t="str">
        <f t="shared" si="0"/>
        <v>(10;11)</v>
      </c>
      <c r="U33" s="14" t="s">
        <v>961</v>
      </c>
      <c r="V33" s="11">
        <f t="shared" si="1"/>
        <v>2.7472527472527473</v>
      </c>
      <c r="W33" s="11">
        <f t="shared" si="2"/>
        <v>0.34340659340659341</v>
      </c>
      <c r="AA33" t="s">
        <v>440</v>
      </c>
      <c r="AB33">
        <v>15.835312747426762</v>
      </c>
    </row>
    <row r="34" spans="4:28" ht="68.25" thickBot="1" x14ac:dyDescent="0.3">
      <c r="D34" s="3">
        <v>1</v>
      </c>
      <c r="E34" s="3" t="s">
        <v>13</v>
      </c>
      <c r="F34" s="4" t="s">
        <v>186</v>
      </c>
      <c r="G34" s="4" t="s">
        <v>187</v>
      </c>
      <c r="H34" s="4" t="s">
        <v>188</v>
      </c>
      <c r="I34" s="3" t="s">
        <v>189</v>
      </c>
      <c r="J34" s="3" t="s">
        <v>190</v>
      </c>
      <c r="K34" s="3" t="s">
        <v>176</v>
      </c>
      <c r="L34" s="3" t="s">
        <v>191</v>
      </c>
      <c r="M34" s="3" t="s">
        <v>176</v>
      </c>
      <c r="N34" s="3" t="s">
        <v>21</v>
      </c>
      <c r="O34" s="3" t="s">
        <v>22</v>
      </c>
      <c r="P34" s="3">
        <v>4143</v>
      </c>
      <c r="Q34" s="3">
        <v>0.31</v>
      </c>
      <c r="R34" s="3">
        <v>2</v>
      </c>
      <c r="S34" s="14" t="s">
        <v>897</v>
      </c>
      <c r="T34" s="14" t="str">
        <f t="shared" si="0"/>
        <v>(10;11)</v>
      </c>
      <c r="U34" s="14" t="s">
        <v>961</v>
      </c>
      <c r="V34" s="11">
        <f t="shared" si="1"/>
        <v>9.6548394882935078</v>
      </c>
      <c r="W34" s="11">
        <f t="shared" si="2"/>
        <v>1.2068549360366885</v>
      </c>
      <c r="AA34" t="s">
        <v>446</v>
      </c>
      <c r="AB34">
        <v>12.965964343598054</v>
      </c>
    </row>
    <row r="35" spans="4:28" ht="27.75" hidden="1" thickBot="1" x14ac:dyDescent="0.3">
      <c r="D35" s="3">
        <v>1</v>
      </c>
      <c r="E35" s="3" t="s">
        <v>13</v>
      </c>
      <c r="F35" s="4" t="s">
        <v>193</v>
      </c>
      <c r="G35" s="4" t="s">
        <v>194</v>
      </c>
      <c r="H35" s="4" t="s">
        <v>195</v>
      </c>
      <c r="I35" s="3" t="s">
        <v>196</v>
      </c>
      <c r="J35" s="3" t="s">
        <v>197</v>
      </c>
      <c r="K35" s="3" t="s">
        <v>198</v>
      </c>
      <c r="L35" s="3" t="s">
        <v>199</v>
      </c>
      <c r="M35" s="3" t="s">
        <v>198</v>
      </c>
      <c r="N35" s="3" t="s">
        <v>21</v>
      </c>
      <c r="O35" s="3" t="s">
        <v>22</v>
      </c>
      <c r="P35" s="3">
        <v>3985</v>
      </c>
      <c r="Q35" s="3">
        <v>0</v>
      </c>
      <c r="R35" s="3">
        <v>2</v>
      </c>
      <c r="S35" s="14" t="s">
        <v>895</v>
      </c>
      <c r="T35" s="14" t="str">
        <f t="shared" si="0"/>
        <v>(11)</v>
      </c>
      <c r="U35" s="14" t="s">
        <v>956</v>
      </c>
      <c r="V35" s="11">
        <f t="shared" si="1"/>
        <v>10.037641154328734</v>
      </c>
      <c r="W35" s="11">
        <f t="shared" si="2"/>
        <v>1.2547051442910917</v>
      </c>
    </row>
    <row r="36" spans="4:28" ht="15.75" hidden="1" thickBot="1" x14ac:dyDescent="0.3">
      <c r="D36" s="3">
        <v>1</v>
      </c>
      <c r="E36" s="3" t="s">
        <v>13</v>
      </c>
      <c r="F36" s="4" t="s">
        <v>200</v>
      </c>
      <c r="G36" s="4" t="s">
        <v>201</v>
      </c>
      <c r="H36" s="4" t="s">
        <v>202</v>
      </c>
      <c r="I36" s="3" t="s">
        <v>203</v>
      </c>
      <c r="J36" s="3" t="s">
        <v>204</v>
      </c>
      <c r="K36" s="3" t="s">
        <v>205</v>
      </c>
      <c r="L36" s="3" t="s">
        <v>206</v>
      </c>
      <c r="M36" s="3" t="s">
        <v>205</v>
      </c>
      <c r="N36" s="3" t="s">
        <v>21</v>
      </c>
      <c r="O36" s="3" t="s">
        <v>22</v>
      </c>
      <c r="P36" s="3">
        <v>13210</v>
      </c>
      <c r="Q36" s="3">
        <v>0</v>
      </c>
      <c r="R36" s="3">
        <v>2</v>
      </c>
      <c r="S36" s="14" t="s">
        <v>895</v>
      </c>
      <c r="T36" s="14" t="str">
        <f t="shared" si="0"/>
        <v>(11)</v>
      </c>
      <c r="U36" s="14" t="s">
        <v>958</v>
      </c>
      <c r="V36" s="11">
        <f t="shared" si="1"/>
        <v>3.0280090840272522</v>
      </c>
      <c r="W36" s="11">
        <f t="shared" si="2"/>
        <v>0.37850113550340653</v>
      </c>
    </row>
    <row r="37" spans="4:28" ht="15.75" hidden="1" thickBot="1" x14ac:dyDescent="0.3">
      <c r="D37" s="3">
        <v>1</v>
      </c>
      <c r="E37" s="3" t="s">
        <v>13</v>
      </c>
      <c r="F37" s="4" t="s">
        <v>207</v>
      </c>
      <c r="G37" s="4" t="s">
        <v>208</v>
      </c>
      <c r="H37" s="4" t="s">
        <v>209</v>
      </c>
      <c r="I37" s="3" t="s">
        <v>210</v>
      </c>
      <c r="J37" s="3" t="s">
        <v>211</v>
      </c>
      <c r="K37" s="3" t="s">
        <v>117</v>
      </c>
      <c r="L37" s="3" t="s">
        <v>212</v>
      </c>
      <c r="M37" s="3" t="s">
        <v>36</v>
      </c>
      <c r="N37" s="3" t="s">
        <v>21</v>
      </c>
      <c r="O37" s="3" t="s">
        <v>22</v>
      </c>
      <c r="P37" s="3">
        <v>13400</v>
      </c>
      <c r="Q37" s="3">
        <v>0</v>
      </c>
      <c r="R37" s="3">
        <v>2</v>
      </c>
      <c r="S37" s="14" t="s">
        <v>895</v>
      </c>
      <c r="T37" s="14" t="str">
        <f t="shared" si="0"/>
        <v>(11)</v>
      </c>
      <c r="U37" s="14" t="s">
        <v>958</v>
      </c>
      <c r="V37" s="11">
        <f t="shared" si="1"/>
        <v>2.9850746268656718</v>
      </c>
      <c r="W37" s="11">
        <f t="shared" si="2"/>
        <v>0.37313432835820898</v>
      </c>
    </row>
    <row r="38" spans="4:28" ht="68.25" thickBot="1" x14ac:dyDescent="0.3">
      <c r="D38" s="3">
        <v>1</v>
      </c>
      <c r="E38" s="3" t="s">
        <v>13</v>
      </c>
      <c r="F38" s="4" t="s">
        <v>213</v>
      </c>
      <c r="G38" s="4" t="s">
        <v>214</v>
      </c>
      <c r="H38" s="4" t="s">
        <v>215</v>
      </c>
      <c r="I38" s="3">
        <v>124</v>
      </c>
      <c r="J38" s="3" t="s">
        <v>216</v>
      </c>
      <c r="K38" s="3" t="s">
        <v>217</v>
      </c>
      <c r="L38" s="3" t="s">
        <v>218</v>
      </c>
      <c r="M38" s="3" t="s">
        <v>169</v>
      </c>
      <c r="N38" s="3" t="s">
        <v>21</v>
      </c>
      <c r="O38" s="3" t="s">
        <v>22</v>
      </c>
      <c r="P38" s="3">
        <v>5741</v>
      </c>
      <c r="Q38" s="3">
        <v>2.4E-2</v>
      </c>
      <c r="R38" s="3">
        <v>2</v>
      </c>
      <c r="S38" s="14" t="s">
        <v>897</v>
      </c>
      <c r="T38" s="14" t="str">
        <f t="shared" si="0"/>
        <v>(10;11)</v>
      </c>
      <c r="U38" s="14" t="s">
        <v>961</v>
      </c>
      <c r="V38" s="11">
        <f t="shared" si="1"/>
        <v>6.9674272774777917</v>
      </c>
      <c r="W38" s="11">
        <f t="shared" si="2"/>
        <v>0.87092840968472396</v>
      </c>
      <c r="AA38" t="s">
        <v>499</v>
      </c>
      <c r="AB38">
        <v>12.326656394453005</v>
      </c>
    </row>
    <row r="39" spans="4:28" ht="26.45" hidden="1" customHeight="1" thickBot="1" x14ac:dyDescent="0.3">
      <c r="D39" s="3">
        <v>1</v>
      </c>
      <c r="E39" s="3" t="s">
        <v>13</v>
      </c>
      <c r="F39" s="4" t="s">
        <v>858</v>
      </c>
      <c r="G39" s="4" t="s">
        <v>219</v>
      </c>
      <c r="H39" s="4" t="s">
        <v>220</v>
      </c>
      <c r="I39" s="3" t="s">
        <v>221</v>
      </c>
      <c r="J39" s="5">
        <v>4256</v>
      </c>
      <c r="K39" s="3" t="s">
        <v>222</v>
      </c>
      <c r="L39" s="3" t="s">
        <v>223</v>
      </c>
      <c r="M39" s="3" t="s">
        <v>222</v>
      </c>
      <c r="N39" s="3" t="s">
        <v>21</v>
      </c>
      <c r="O39" s="3" t="s">
        <v>22</v>
      </c>
      <c r="P39" s="3">
        <v>631.4</v>
      </c>
      <c r="Q39" s="3">
        <v>0</v>
      </c>
      <c r="R39" s="3">
        <v>2</v>
      </c>
      <c r="S39" s="14" t="s">
        <v>895</v>
      </c>
      <c r="T39" s="14" t="str">
        <f t="shared" si="0"/>
        <v>(11)</v>
      </c>
      <c r="U39" s="14" t="s">
        <v>959</v>
      </c>
      <c r="V39" s="11">
        <f t="shared" si="1"/>
        <v>63.351282863477991</v>
      </c>
      <c r="W39" s="11">
        <f t="shared" si="2"/>
        <v>7.9189103579347488</v>
      </c>
      <c r="AA39" t="s">
        <v>588</v>
      </c>
      <c r="AB39">
        <v>8.9485458612975393</v>
      </c>
    </row>
    <row r="40" spans="4:28" ht="54.75" hidden="1" thickBot="1" x14ac:dyDescent="0.3">
      <c r="D40" s="3">
        <v>1</v>
      </c>
      <c r="E40" s="3" t="s">
        <v>13</v>
      </c>
      <c r="F40" s="4" t="s">
        <v>224</v>
      </c>
      <c r="G40" s="4" t="s">
        <v>225</v>
      </c>
      <c r="H40" s="4" t="s">
        <v>226</v>
      </c>
      <c r="I40" s="3">
        <v>18</v>
      </c>
      <c r="J40" s="3"/>
      <c r="K40" s="3" t="s">
        <v>21</v>
      </c>
      <c r="L40" s="3">
        <v>100</v>
      </c>
      <c r="M40" s="3" t="s">
        <v>76</v>
      </c>
      <c r="N40" s="3" t="s">
        <v>76</v>
      </c>
      <c r="O40" s="3" t="s">
        <v>22</v>
      </c>
      <c r="P40" s="3">
        <v>0</v>
      </c>
      <c r="Q40" s="3">
        <v>0</v>
      </c>
      <c r="R40" s="3">
        <v>2</v>
      </c>
      <c r="S40" s="14" t="s">
        <v>898</v>
      </c>
      <c r="T40" s="14" t="e">
        <f t="shared" si="0"/>
        <v>#VALUE!</v>
      </c>
      <c r="U40" s="14" t="s">
        <v>960</v>
      </c>
      <c r="V40" s="11" t="e">
        <f t="shared" si="1"/>
        <v>#DIV/0!</v>
      </c>
      <c r="W40" s="11" t="e">
        <f t="shared" si="2"/>
        <v>#DIV/0!</v>
      </c>
      <c r="AA40" t="s">
        <v>670</v>
      </c>
      <c r="AB40" t="e">
        <v>#VALUE!</v>
      </c>
    </row>
    <row r="41" spans="4:28" ht="54.75" hidden="1" thickBot="1" x14ac:dyDescent="0.3">
      <c r="D41" s="3">
        <v>1</v>
      </c>
      <c r="E41" s="3" t="s">
        <v>13</v>
      </c>
      <c r="F41" s="4" t="s">
        <v>227</v>
      </c>
      <c r="G41" s="4" t="s">
        <v>228</v>
      </c>
      <c r="H41" s="4" t="s">
        <v>229</v>
      </c>
      <c r="I41" s="3" t="s">
        <v>230</v>
      </c>
      <c r="J41" s="3" t="s">
        <v>231</v>
      </c>
      <c r="K41" s="3" t="s">
        <v>232</v>
      </c>
      <c r="L41" s="3" t="s">
        <v>96</v>
      </c>
      <c r="M41" s="3" t="s">
        <v>233</v>
      </c>
      <c r="N41" s="3" t="s">
        <v>21</v>
      </c>
      <c r="O41" s="3" t="s">
        <v>22</v>
      </c>
      <c r="P41" s="3">
        <v>1</v>
      </c>
      <c r="Q41" s="3">
        <v>0</v>
      </c>
      <c r="R41" s="3">
        <v>2</v>
      </c>
      <c r="S41" s="14" t="s">
        <v>898</v>
      </c>
      <c r="T41" s="14" t="e">
        <f t="shared" si="0"/>
        <v>#VALUE!</v>
      </c>
      <c r="U41" s="14" t="s">
        <v>960</v>
      </c>
      <c r="V41" s="11">
        <f t="shared" si="1"/>
        <v>40000</v>
      </c>
      <c r="W41" s="11">
        <f t="shared" si="2"/>
        <v>5000</v>
      </c>
      <c r="AA41" t="s">
        <v>707</v>
      </c>
      <c r="AB41">
        <v>13.481631277384563</v>
      </c>
    </row>
    <row r="42" spans="4:28" ht="68.25" thickBot="1" x14ac:dyDescent="0.3">
      <c r="D42" s="3">
        <v>1</v>
      </c>
      <c r="E42" s="3" t="s">
        <v>234</v>
      </c>
      <c r="F42" s="4" t="s">
        <v>235</v>
      </c>
      <c r="G42" s="4" t="s">
        <v>236</v>
      </c>
      <c r="H42" s="4" t="s">
        <v>237</v>
      </c>
      <c r="I42" s="3" t="s">
        <v>238</v>
      </c>
      <c r="J42" s="3" t="s">
        <v>239</v>
      </c>
      <c r="K42" s="3" t="s">
        <v>19</v>
      </c>
      <c r="L42" s="3" t="s">
        <v>240</v>
      </c>
      <c r="M42" s="3" t="s">
        <v>241</v>
      </c>
      <c r="N42" s="3">
        <v>681</v>
      </c>
      <c r="O42" s="3" t="s">
        <v>22</v>
      </c>
      <c r="P42" s="3">
        <v>1182</v>
      </c>
      <c r="Q42" s="3">
        <v>3.6999999999999998E-2</v>
      </c>
      <c r="R42" s="3">
        <v>2</v>
      </c>
      <c r="S42" s="14" t="s">
        <v>897</v>
      </c>
      <c r="T42" s="14" t="str">
        <f t="shared" si="0"/>
        <v>(10;11)</v>
      </c>
      <c r="U42" s="14" t="s">
        <v>961</v>
      </c>
      <c r="V42" s="11">
        <f t="shared" si="1"/>
        <v>33.840947546531304</v>
      </c>
      <c r="W42" s="11">
        <f t="shared" si="2"/>
        <v>4.230118443316413</v>
      </c>
      <c r="AA42" t="s">
        <v>510</v>
      </c>
      <c r="AB42">
        <v>15.515301966564525</v>
      </c>
    </row>
    <row r="43" spans="4:28" ht="68.25" thickBot="1" x14ac:dyDescent="0.3">
      <c r="D43" s="3">
        <v>1</v>
      </c>
      <c r="E43" s="3" t="s">
        <v>234</v>
      </c>
      <c r="F43" s="4" t="s">
        <v>242</v>
      </c>
      <c r="G43" s="4" t="s">
        <v>243</v>
      </c>
      <c r="H43" s="4" t="s">
        <v>244</v>
      </c>
      <c r="I43" s="3" t="s">
        <v>245</v>
      </c>
      <c r="J43" s="3" t="s">
        <v>246</v>
      </c>
      <c r="K43" s="3" t="s">
        <v>142</v>
      </c>
      <c r="L43" s="3" t="s">
        <v>247</v>
      </c>
      <c r="M43" s="3" t="s">
        <v>102</v>
      </c>
      <c r="N43" s="3">
        <v>685</v>
      </c>
      <c r="O43" s="3" t="s">
        <v>22</v>
      </c>
      <c r="P43" s="3">
        <v>1288</v>
      </c>
      <c r="Q43" s="3">
        <v>0.04</v>
      </c>
      <c r="R43" s="3">
        <v>2</v>
      </c>
      <c r="S43" s="14" t="s">
        <v>897</v>
      </c>
      <c r="T43" s="14" t="str">
        <f t="shared" si="0"/>
        <v>(10;11)</v>
      </c>
      <c r="U43" s="14" t="s">
        <v>961</v>
      </c>
      <c r="V43" s="11">
        <f t="shared" si="1"/>
        <v>31.055900621118013</v>
      </c>
      <c r="W43" s="11">
        <f t="shared" si="2"/>
        <v>3.8819875776397517</v>
      </c>
    </row>
    <row r="44" spans="4:28" ht="68.25" thickBot="1" x14ac:dyDescent="0.3">
      <c r="D44" s="3">
        <v>1</v>
      </c>
      <c r="E44" s="3" t="s">
        <v>234</v>
      </c>
      <c r="F44" s="4" t="s">
        <v>249</v>
      </c>
      <c r="G44" s="4" t="s">
        <v>250</v>
      </c>
      <c r="H44" s="4" t="s">
        <v>251</v>
      </c>
      <c r="I44" s="3">
        <v>101</v>
      </c>
      <c r="J44" s="3" t="s">
        <v>252</v>
      </c>
      <c r="K44" s="3" t="s">
        <v>253</v>
      </c>
      <c r="L44" s="3" t="s">
        <v>254</v>
      </c>
      <c r="M44" s="3" t="s">
        <v>255</v>
      </c>
      <c r="N44" s="3" t="s">
        <v>21</v>
      </c>
      <c r="O44" s="3" t="s">
        <v>22</v>
      </c>
      <c r="P44" s="3">
        <v>932.6</v>
      </c>
      <c r="Q44" s="3">
        <v>0.03</v>
      </c>
      <c r="R44" s="3">
        <v>2</v>
      </c>
      <c r="S44" s="14" t="s">
        <v>897</v>
      </c>
      <c r="T44" s="14" t="str">
        <f t="shared" si="0"/>
        <v>(10;11)</v>
      </c>
      <c r="U44" s="14" t="s">
        <v>961</v>
      </c>
      <c r="V44" s="11">
        <f t="shared" si="1"/>
        <v>42.890842805061119</v>
      </c>
      <c r="W44" s="11">
        <f t="shared" si="2"/>
        <v>5.3613553506326399</v>
      </c>
    </row>
    <row r="45" spans="4:28" ht="68.25" thickBot="1" x14ac:dyDescent="0.3">
      <c r="D45" s="3">
        <v>1</v>
      </c>
      <c r="E45" s="3" t="s">
        <v>234</v>
      </c>
      <c r="F45" s="4" t="s">
        <v>256</v>
      </c>
      <c r="G45" s="4" t="s">
        <v>257</v>
      </c>
      <c r="H45" s="4" t="s">
        <v>258</v>
      </c>
      <c r="I45" s="3" t="s">
        <v>259</v>
      </c>
      <c r="J45" s="3" t="s">
        <v>260</v>
      </c>
      <c r="K45" s="3" t="s">
        <v>178</v>
      </c>
      <c r="L45" s="3" t="s">
        <v>261</v>
      </c>
      <c r="M45" s="3" t="s">
        <v>262</v>
      </c>
      <c r="N45" s="3">
        <v>723</v>
      </c>
      <c r="O45" s="3" t="s">
        <v>22</v>
      </c>
      <c r="P45" s="3">
        <v>2788</v>
      </c>
      <c r="Q45" s="3">
        <v>2.1000000000000001E-2</v>
      </c>
      <c r="R45" s="3">
        <v>2</v>
      </c>
      <c r="S45" s="14" t="s">
        <v>897</v>
      </c>
      <c r="T45" s="14" t="str">
        <f t="shared" si="0"/>
        <v>(10;11)</v>
      </c>
      <c r="U45" s="14" t="s">
        <v>961</v>
      </c>
      <c r="V45" s="11">
        <f t="shared" si="1"/>
        <v>14.347202295552368</v>
      </c>
      <c r="W45" s="11">
        <f t="shared" si="2"/>
        <v>1.793400286944046</v>
      </c>
    </row>
    <row r="46" spans="4:28" ht="68.25" thickBot="1" x14ac:dyDescent="0.3">
      <c r="D46" s="3">
        <v>1</v>
      </c>
      <c r="E46" s="3" t="s">
        <v>234</v>
      </c>
      <c r="F46" s="4" t="s">
        <v>263</v>
      </c>
      <c r="G46" s="4" t="s">
        <v>264</v>
      </c>
      <c r="H46" s="4" t="s">
        <v>258</v>
      </c>
      <c r="I46" s="3" t="s">
        <v>265</v>
      </c>
      <c r="J46" s="3" t="s">
        <v>266</v>
      </c>
      <c r="K46" s="3" t="s">
        <v>267</v>
      </c>
      <c r="L46" s="3" t="s">
        <v>268</v>
      </c>
      <c r="M46" s="3" t="s">
        <v>253</v>
      </c>
      <c r="N46" s="3">
        <v>641</v>
      </c>
      <c r="O46" s="3" t="s">
        <v>22</v>
      </c>
      <c r="P46" s="3">
        <v>2416</v>
      </c>
      <c r="Q46" s="3">
        <v>3.3000000000000002E-2</v>
      </c>
      <c r="R46" s="3">
        <v>2</v>
      </c>
      <c r="S46" s="14" t="s">
        <v>897</v>
      </c>
      <c r="T46" s="14" t="str">
        <f t="shared" si="0"/>
        <v>(10;11)</v>
      </c>
      <c r="U46" s="14" t="s">
        <v>961</v>
      </c>
      <c r="V46" s="11">
        <f t="shared" si="1"/>
        <v>16.556291390728475</v>
      </c>
      <c r="W46" s="11">
        <f t="shared" si="2"/>
        <v>2.0695364238410594</v>
      </c>
    </row>
    <row r="47" spans="4:28" ht="68.25" thickBot="1" x14ac:dyDescent="0.3">
      <c r="D47" s="3">
        <v>1</v>
      </c>
      <c r="E47" s="3" t="s">
        <v>234</v>
      </c>
      <c r="F47" s="4" t="s">
        <v>269</v>
      </c>
      <c r="G47" s="4" t="s">
        <v>270</v>
      </c>
      <c r="H47" s="4" t="s">
        <v>271</v>
      </c>
      <c r="I47" s="3">
        <v>92</v>
      </c>
      <c r="J47" s="3" t="s">
        <v>272</v>
      </c>
      <c r="K47" s="3" t="s">
        <v>178</v>
      </c>
      <c r="L47" s="3" t="s">
        <v>273</v>
      </c>
      <c r="M47" s="3" t="s">
        <v>253</v>
      </c>
      <c r="N47" s="3" t="s">
        <v>21</v>
      </c>
      <c r="O47" s="3" t="s">
        <v>274</v>
      </c>
      <c r="P47" s="3">
        <v>3124</v>
      </c>
      <c r="Q47" s="3">
        <v>4.1000000000000002E-2</v>
      </c>
      <c r="R47" s="3">
        <v>2</v>
      </c>
      <c r="S47" s="14" t="s">
        <v>897</v>
      </c>
      <c r="T47" s="14" t="str">
        <f t="shared" si="0"/>
        <v>(10;11)</v>
      </c>
      <c r="U47" s="14" t="s">
        <v>961</v>
      </c>
      <c r="V47" s="11">
        <f t="shared" si="1"/>
        <v>12.804097311139564</v>
      </c>
      <c r="W47" s="11">
        <f t="shared" si="2"/>
        <v>1.6005121638924455</v>
      </c>
    </row>
    <row r="48" spans="4:28" ht="68.25" thickBot="1" x14ac:dyDescent="0.3">
      <c r="D48" s="3">
        <v>1</v>
      </c>
      <c r="E48" s="3" t="s">
        <v>234</v>
      </c>
      <c r="F48" s="4" t="s">
        <v>275</v>
      </c>
      <c r="G48" s="4" t="s">
        <v>276</v>
      </c>
      <c r="H48" s="4" t="s">
        <v>271</v>
      </c>
      <c r="I48" s="3" t="s">
        <v>277</v>
      </c>
      <c r="J48" s="3" t="s">
        <v>278</v>
      </c>
      <c r="K48" s="3" t="s">
        <v>279</v>
      </c>
      <c r="L48" s="3" t="s">
        <v>280</v>
      </c>
      <c r="M48" s="3" t="s">
        <v>171</v>
      </c>
      <c r="N48" s="3" t="s">
        <v>21</v>
      </c>
      <c r="O48" s="3" t="s">
        <v>22</v>
      </c>
      <c r="P48" s="3">
        <v>4457</v>
      </c>
      <c r="Q48" s="3">
        <v>3.1E-2</v>
      </c>
      <c r="R48" s="3">
        <v>2</v>
      </c>
      <c r="S48" s="14" t="s">
        <v>897</v>
      </c>
      <c r="T48" s="14" t="str">
        <f t="shared" si="0"/>
        <v>(10;11)</v>
      </c>
      <c r="U48" s="14" t="s">
        <v>961</v>
      </c>
      <c r="V48" s="11">
        <f t="shared" si="1"/>
        <v>8.9746466232892086</v>
      </c>
      <c r="W48" s="11">
        <f t="shared" si="2"/>
        <v>1.1218308279111511</v>
      </c>
    </row>
    <row r="49" spans="4:23" ht="41.25" hidden="1" thickBot="1" x14ac:dyDescent="0.3">
      <c r="D49" s="3">
        <v>1</v>
      </c>
      <c r="E49" s="3" t="s">
        <v>281</v>
      </c>
      <c r="F49" s="4" t="s">
        <v>282</v>
      </c>
      <c r="G49" s="4" t="s">
        <v>283</v>
      </c>
      <c r="H49" s="4" t="s">
        <v>284</v>
      </c>
      <c r="I49" s="3" t="s">
        <v>285</v>
      </c>
      <c r="J49" s="3" t="s">
        <v>286</v>
      </c>
      <c r="K49" s="3" t="s">
        <v>287</v>
      </c>
      <c r="L49" s="3" t="s">
        <v>288</v>
      </c>
      <c r="M49" s="3" t="s">
        <v>287</v>
      </c>
      <c r="N49" s="3">
        <v>728</v>
      </c>
      <c r="O49" s="3" t="s">
        <v>22</v>
      </c>
      <c r="P49" s="3">
        <v>3922</v>
      </c>
      <c r="Q49" s="3">
        <v>0</v>
      </c>
      <c r="R49" s="3">
        <v>2</v>
      </c>
      <c r="S49" s="14" t="s">
        <v>895</v>
      </c>
      <c r="T49" s="14" t="str">
        <f t="shared" si="0"/>
        <v>(11)</v>
      </c>
      <c r="U49" s="14" t="s">
        <v>956</v>
      </c>
      <c r="V49" s="11">
        <f t="shared" si="1"/>
        <v>10.198878123406425</v>
      </c>
      <c r="W49" s="11">
        <f t="shared" si="2"/>
        <v>1.2748597654258031</v>
      </c>
    </row>
    <row r="50" spans="4:23" ht="68.25" thickBot="1" x14ac:dyDescent="0.3">
      <c r="D50" s="3">
        <v>1</v>
      </c>
      <c r="E50" s="3" t="s">
        <v>281</v>
      </c>
      <c r="F50" s="4" t="s">
        <v>289</v>
      </c>
      <c r="G50" s="4" t="s">
        <v>290</v>
      </c>
      <c r="H50" s="4" t="s">
        <v>291</v>
      </c>
      <c r="I50" s="3" t="s">
        <v>292</v>
      </c>
      <c r="J50" s="3" t="s">
        <v>293</v>
      </c>
      <c r="K50" s="3" t="s">
        <v>21</v>
      </c>
      <c r="L50" s="3" t="s">
        <v>294</v>
      </c>
      <c r="M50" s="3" t="s">
        <v>295</v>
      </c>
      <c r="N50" s="3" t="s">
        <v>21</v>
      </c>
      <c r="O50" s="3" t="s">
        <v>21</v>
      </c>
      <c r="P50" s="3">
        <v>5328</v>
      </c>
      <c r="Q50" s="3">
        <v>2.8000000000000001E-2</v>
      </c>
      <c r="R50" s="3">
        <v>2</v>
      </c>
      <c r="S50" s="14" t="s">
        <v>897</v>
      </c>
      <c r="T50" s="14" t="str">
        <f t="shared" si="0"/>
        <v>(10;11)</v>
      </c>
      <c r="U50" s="14" t="s">
        <v>961</v>
      </c>
      <c r="V50" s="11">
        <f t="shared" si="1"/>
        <v>7.5075075075075075</v>
      </c>
      <c r="W50" s="11">
        <f t="shared" si="2"/>
        <v>0.93843843843843844</v>
      </c>
    </row>
    <row r="51" spans="4:23" ht="42.6" hidden="1" customHeight="1" thickBot="1" x14ac:dyDescent="0.3">
      <c r="D51" s="3">
        <v>1</v>
      </c>
      <c r="E51" s="3" t="s">
        <v>281</v>
      </c>
      <c r="F51" s="4" t="s">
        <v>296</v>
      </c>
      <c r="G51" s="4" t="s">
        <v>297</v>
      </c>
      <c r="H51" s="4" t="s">
        <v>298</v>
      </c>
      <c r="I51" s="3" t="s">
        <v>299</v>
      </c>
      <c r="J51" s="3" t="s">
        <v>300</v>
      </c>
      <c r="K51" s="3" t="s">
        <v>178</v>
      </c>
      <c r="L51" s="3" t="s">
        <v>301</v>
      </c>
      <c r="M51" s="3" t="s">
        <v>192</v>
      </c>
      <c r="N51" s="3">
        <v>685</v>
      </c>
      <c r="O51" s="3" t="s">
        <v>22</v>
      </c>
      <c r="P51" s="3">
        <v>2107</v>
      </c>
      <c r="Q51" s="3">
        <v>0</v>
      </c>
      <c r="R51" s="3">
        <v>2</v>
      </c>
      <c r="S51" s="14" t="s">
        <v>895</v>
      </c>
      <c r="T51" s="14" t="str">
        <f t="shared" si="0"/>
        <v>(11)</v>
      </c>
      <c r="U51" s="14" t="s">
        <v>956</v>
      </c>
      <c r="V51" s="11">
        <f t="shared" si="1"/>
        <v>18.984337921214998</v>
      </c>
      <c r="W51" s="11">
        <f t="shared" si="2"/>
        <v>2.3730422401518747</v>
      </c>
    </row>
    <row r="52" spans="4:23" ht="37.9" hidden="1" customHeight="1" thickBot="1" x14ac:dyDescent="0.3">
      <c r="D52" s="3">
        <v>1</v>
      </c>
      <c r="E52" s="3" t="s">
        <v>281</v>
      </c>
      <c r="F52" s="4" t="s">
        <v>302</v>
      </c>
      <c r="G52" s="4" t="s">
        <v>303</v>
      </c>
      <c r="H52" s="4" t="s">
        <v>298</v>
      </c>
      <c r="I52" s="3" t="s">
        <v>304</v>
      </c>
      <c r="J52" s="3" t="s">
        <v>305</v>
      </c>
      <c r="K52" s="3" t="s">
        <v>184</v>
      </c>
      <c r="L52" s="3" t="s">
        <v>306</v>
      </c>
      <c r="M52" s="3" t="s">
        <v>178</v>
      </c>
      <c r="N52" s="3">
        <v>703</v>
      </c>
      <c r="O52" s="3" t="s">
        <v>22</v>
      </c>
      <c r="P52" s="3">
        <v>2804</v>
      </c>
      <c r="Q52" s="3">
        <v>0</v>
      </c>
      <c r="R52" s="3">
        <v>2</v>
      </c>
      <c r="S52" s="14" t="s">
        <v>895</v>
      </c>
      <c r="T52" s="14" t="str">
        <f t="shared" si="0"/>
        <v>(11)</v>
      </c>
      <c r="U52" s="14" t="s">
        <v>956</v>
      </c>
      <c r="V52" s="11">
        <f t="shared" si="1"/>
        <v>14.265335235378032</v>
      </c>
      <c r="W52" s="11">
        <f t="shared" si="2"/>
        <v>1.783166904422254</v>
      </c>
    </row>
    <row r="53" spans="4:23" ht="40.15" hidden="1" customHeight="1" thickBot="1" x14ac:dyDescent="0.3">
      <c r="D53" s="3">
        <v>1</v>
      </c>
      <c r="E53" s="3" t="s">
        <v>281</v>
      </c>
      <c r="F53" s="4" t="s">
        <v>307</v>
      </c>
      <c r="G53" s="4" t="s">
        <v>308</v>
      </c>
      <c r="H53" s="4" t="s">
        <v>298</v>
      </c>
      <c r="I53" s="3" t="s">
        <v>309</v>
      </c>
      <c r="J53" s="3" t="s">
        <v>310</v>
      </c>
      <c r="K53" s="3" t="s">
        <v>192</v>
      </c>
      <c r="L53" s="3" t="s">
        <v>311</v>
      </c>
      <c r="M53" s="3" t="s">
        <v>171</v>
      </c>
      <c r="N53" s="3">
        <v>704</v>
      </c>
      <c r="O53" s="3" t="s">
        <v>22</v>
      </c>
      <c r="P53" s="3">
        <v>1774</v>
      </c>
      <c r="Q53" s="3">
        <v>0</v>
      </c>
      <c r="R53" s="3">
        <v>2</v>
      </c>
      <c r="S53" s="14" t="s">
        <v>895</v>
      </c>
      <c r="T53" s="14" t="str">
        <f t="shared" si="0"/>
        <v>(11)</v>
      </c>
      <c r="U53" s="14" t="s">
        <v>956</v>
      </c>
      <c r="V53" s="11">
        <f t="shared" si="1"/>
        <v>22.547914317925592</v>
      </c>
      <c r="W53" s="11">
        <f t="shared" si="2"/>
        <v>2.818489289740699</v>
      </c>
    </row>
    <row r="54" spans="4:23" ht="43.9" hidden="1" customHeight="1" thickBot="1" x14ac:dyDescent="0.3">
      <c r="D54" s="3">
        <v>1</v>
      </c>
      <c r="E54" s="3" t="s">
        <v>234</v>
      </c>
      <c r="F54" s="4" t="s">
        <v>312</v>
      </c>
      <c r="G54" s="4" t="s">
        <v>313</v>
      </c>
      <c r="H54" s="4" t="s">
        <v>298</v>
      </c>
      <c r="I54" s="3" t="s">
        <v>314</v>
      </c>
      <c r="J54" s="3" t="s">
        <v>315</v>
      </c>
      <c r="K54" s="3" t="s">
        <v>279</v>
      </c>
      <c r="L54" s="3" t="s">
        <v>316</v>
      </c>
      <c r="M54" s="3" t="s">
        <v>117</v>
      </c>
      <c r="N54" s="3" t="s">
        <v>21</v>
      </c>
      <c r="O54" s="3" t="s">
        <v>22</v>
      </c>
      <c r="P54" s="3">
        <v>1627</v>
      </c>
      <c r="Q54" s="3">
        <v>0</v>
      </c>
      <c r="R54" s="3">
        <v>2</v>
      </c>
      <c r="S54" s="14" t="s">
        <v>895</v>
      </c>
      <c r="T54" s="14" t="str">
        <f t="shared" si="0"/>
        <v>(11)</v>
      </c>
      <c r="U54" s="14" t="s">
        <v>956</v>
      </c>
      <c r="V54" s="11">
        <f t="shared" si="1"/>
        <v>24.585125998770742</v>
      </c>
      <c r="W54" s="11">
        <f t="shared" si="2"/>
        <v>3.0731407498463428</v>
      </c>
    </row>
    <row r="55" spans="4:23" ht="37.9" hidden="1" customHeight="1" thickBot="1" x14ac:dyDescent="0.3">
      <c r="D55" s="3">
        <v>1</v>
      </c>
      <c r="E55" s="3" t="s">
        <v>234</v>
      </c>
      <c r="F55" s="4" t="s">
        <v>317</v>
      </c>
      <c r="G55" s="4" t="s">
        <v>318</v>
      </c>
      <c r="H55" s="4" t="s">
        <v>298</v>
      </c>
      <c r="I55" s="3" t="s">
        <v>319</v>
      </c>
      <c r="J55" s="3" t="s">
        <v>320</v>
      </c>
      <c r="K55" s="3" t="s">
        <v>57</v>
      </c>
      <c r="L55" s="3" t="s">
        <v>321</v>
      </c>
      <c r="M55" s="3" t="s">
        <v>262</v>
      </c>
      <c r="N55" s="3" t="s">
        <v>21</v>
      </c>
      <c r="O55" s="3" t="s">
        <v>22</v>
      </c>
      <c r="P55" s="3">
        <v>1552</v>
      </c>
      <c r="Q55" s="3">
        <v>0</v>
      </c>
      <c r="R55" s="3">
        <v>2</v>
      </c>
      <c r="S55" s="14" t="s">
        <v>895</v>
      </c>
      <c r="T55" s="14" t="str">
        <f t="shared" si="0"/>
        <v>(11)</v>
      </c>
      <c r="U55" s="14" t="s">
        <v>956</v>
      </c>
      <c r="V55" s="11">
        <f t="shared" si="1"/>
        <v>25.773195876288661</v>
      </c>
      <c r="W55" s="11">
        <f t="shared" si="2"/>
        <v>3.2216494845360826</v>
      </c>
    </row>
    <row r="56" spans="4:23" ht="42.6" hidden="1" customHeight="1" thickBot="1" x14ac:dyDescent="0.3">
      <c r="D56" s="3">
        <v>1</v>
      </c>
      <c r="E56" s="3" t="s">
        <v>234</v>
      </c>
      <c r="F56" s="4" t="s">
        <v>322</v>
      </c>
      <c r="G56" s="4" t="s">
        <v>323</v>
      </c>
      <c r="H56" s="4" t="s">
        <v>298</v>
      </c>
      <c r="I56" s="3" t="s">
        <v>324</v>
      </c>
      <c r="J56" s="3" t="s">
        <v>325</v>
      </c>
      <c r="K56" s="3" t="s">
        <v>267</v>
      </c>
      <c r="L56" s="3" t="s">
        <v>326</v>
      </c>
      <c r="M56" s="3" t="s">
        <v>267</v>
      </c>
      <c r="N56" s="3" t="s">
        <v>21</v>
      </c>
      <c r="O56" s="3" t="s">
        <v>22</v>
      </c>
      <c r="P56" s="3">
        <v>1825</v>
      </c>
      <c r="Q56" s="3">
        <v>0</v>
      </c>
      <c r="R56" s="3">
        <v>2</v>
      </c>
      <c r="S56" s="14" t="s">
        <v>895</v>
      </c>
      <c r="T56" s="14" t="str">
        <f t="shared" si="0"/>
        <v>(11)</v>
      </c>
      <c r="U56" s="14" t="s">
        <v>956</v>
      </c>
      <c r="V56" s="11">
        <f t="shared" si="1"/>
        <v>21.917808219178081</v>
      </c>
      <c r="W56" s="11">
        <f t="shared" si="2"/>
        <v>2.7397260273972601</v>
      </c>
    </row>
    <row r="57" spans="4:23" ht="41.25" hidden="1" thickBot="1" x14ac:dyDescent="0.3">
      <c r="D57" s="3">
        <v>1</v>
      </c>
      <c r="E57" s="3" t="s">
        <v>234</v>
      </c>
      <c r="F57" s="4" t="s">
        <v>327</v>
      </c>
      <c r="G57" s="4" t="s">
        <v>328</v>
      </c>
      <c r="H57" s="4" t="s">
        <v>329</v>
      </c>
      <c r="I57" s="3">
        <v>79.099000000000004</v>
      </c>
      <c r="J57" s="3" t="s">
        <v>330</v>
      </c>
      <c r="K57" s="3">
        <v>0.3</v>
      </c>
      <c r="L57" s="3" t="s">
        <v>331</v>
      </c>
      <c r="M57" s="3">
        <v>0.29799999999999999</v>
      </c>
      <c r="N57" s="3" t="s">
        <v>21</v>
      </c>
      <c r="O57" s="3" t="s">
        <v>22</v>
      </c>
      <c r="P57" s="3">
        <v>1495.13</v>
      </c>
      <c r="Q57" s="3">
        <v>0</v>
      </c>
      <c r="R57" s="3">
        <v>2</v>
      </c>
      <c r="S57" s="14" t="s">
        <v>895</v>
      </c>
      <c r="T57" s="14" t="str">
        <f t="shared" si="0"/>
        <v>(11)</v>
      </c>
      <c r="U57" s="14" t="s">
        <v>956</v>
      </c>
      <c r="V57" s="11">
        <f t="shared" si="1"/>
        <v>26.753526449205083</v>
      </c>
      <c r="W57" s="11">
        <f t="shared" si="2"/>
        <v>3.3441908061506354</v>
      </c>
    </row>
    <row r="58" spans="4:23" ht="68.25" thickBot="1" x14ac:dyDescent="0.3">
      <c r="D58" s="3">
        <v>1</v>
      </c>
      <c r="E58" s="3" t="s">
        <v>281</v>
      </c>
      <c r="F58" s="4" t="s">
        <v>332</v>
      </c>
      <c r="G58" s="4" t="s">
        <v>333</v>
      </c>
      <c r="H58" s="4" t="s">
        <v>334</v>
      </c>
      <c r="I58" s="3" t="s">
        <v>335</v>
      </c>
      <c r="J58" s="3" t="s">
        <v>336</v>
      </c>
      <c r="K58" s="3" t="s">
        <v>279</v>
      </c>
      <c r="L58" s="3" t="s">
        <v>337</v>
      </c>
      <c r="M58" s="3" t="s">
        <v>178</v>
      </c>
      <c r="N58" s="3" t="s">
        <v>21</v>
      </c>
      <c r="O58" s="3" t="s">
        <v>22</v>
      </c>
      <c r="P58" s="3">
        <v>3152</v>
      </c>
      <c r="Q58" s="3">
        <v>2.5999999999999999E-2</v>
      </c>
      <c r="R58" s="3">
        <v>2</v>
      </c>
      <c r="S58" s="14" t="s">
        <v>897</v>
      </c>
      <c r="T58" s="14" t="str">
        <f t="shared" si="0"/>
        <v>(10;11)</v>
      </c>
      <c r="U58" s="14" t="s">
        <v>961</v>
      </c>
      <c r="V58" s="11">
        <f t="shared" si="1"/>
        <v>12.690355329949238</v>
      </c>
      <c r="W58" s="11">
        <f t="shared" si="2"/>
        <v>1.5862944162436547</v>
      </c>
    </row>
    <row r="59" spans="4:23" ht="68.25" thickBot="1" x14ac:dyDescent="0.3">
      <c r="D59" s="3">
        <v>1</v>
      </c>
      <c r="E59" s="3" t="s">
        <v>281</v>
      </c>
      <c r="F59" s="4" t="s">
        <v>338</v>
      </c>
      <c r="G59" s="4" t="s">
        <v>339</v>
      </c>
      <c r="H59" s="4" t="s">
        <v>340</v>
      </c>
      <c r="I59" s="3" t="s">
        <v>341</v>
      </c>
      <c r="J59" s="3" t="s">
        <v>342</v>
      </c>
      <c r="K59" s="3" t="s">
        <v>343</v>
      </c>
      <c r="L59" s="3" t="s">
        <v>344</v>
      </c>
      <c r="M59" s="3" t="s">
        <v>163</v>
      </c>
      <c r="N59" s="3" t="s">
        <v>21</v>
      </c>
      <c r="O59" s="3" t="s">
        <v>22</v>
      </c>
      <c r="P59" s="3">
        <v>1585</v>
      </c>
      <c r="Q59" s="3">
        <v>4.8000000000000001E-2</v>
      </c>
      <c r="R59" s="3">
        <v>2</v>
      </c>
      <c r="S59" s="14" t="s">
        <v>897</v>
      </c>
      <c r="T59" s="14" t="str">
        <f t="shared" si="0"/>
        <v>(10;11)</v>
      </c>
      <c r="U59" s="14" t="s">
        <v>961</v>
      </c>
      <c r="V59" s="11">
        <f t="shared" si="1"/>
        <v>25.236593059936908</v>
      </c>
      <c r="W59" s="11">
        <f t="shared" si="2"/>
        <v>3.1545741324921135</v>
      </c>
    </row>
    <row r="60" spans="4:23" ht="68.25" thickBot="1" x14ac:dyDescent="0.3">
      <c r="D60" s="3">
        <v>1</v>
      </c>
      <c r="E60" s="3" t="s">
        <v>281</v>
      </c>
      <c r="F60" s="4" t="s">
        <v>345</v>
      </c>
      <c r="G60" s="4" t="s">
        <v>346</v>
      </c>
      <c r="H60" s="4" t="s">
        <v>340</v>
      </c>
      <c r="I60" s="3" t="s">
        <v>347</v>
      </c>
      <c r="J60" s="3" t="s">
        <v>348</v>
      </c>
      <c r="K60" s="3" t="s">
        <v>349</v>
      </c>
      <c r="L60" s="3" t="s">
        <v>350</v>
      </c>
      <c r="M60" s="3" t="s">
        <v>163</v>
      </c>
      <c r="N60" s="3" t="s">
        <v>21</v>
      </c>
      <c r="O60" s="3" t="s">
        <v>22</v>
      </c>
      <c r="P60" s="3">
        <v>1560</v>
      </c>
      <c r="Q60" s="3">
        <v>4.8000000000000001E-2</v>
      </c>
      <c r="R60" s="3">
        <v>2</v>
      </c>
      <c r="S60" s="14" t="s">
        <v>897</v>
      </c>
      <c r="T60" s="14" t="str">
        <f t="shared" si="0"/>
        <v>(10;11)</v>
      </c>
      <c r="U60" s="14" t="s">
        <v>961</v>
      </c>
      <c r="V60" s="11">
        <f t="shared" si="1"/>
        <v>25.641025641025642</v>
      </c>
      <c r="W60" s="11">
        <f t="shared" si="2"/>
        <v>3.2051282051282053</v>
      </c>
    </row>
    <row r="61" spans="4:23" ht="27.75" hidden="1" thickBot="1" x14ac:dyDescent="0.3">
      <c r="D61" s="3">
        <v>1</v>
      </c>
      <c r="E61" s="3" t="s">
        <v>281</v>
      </c>
      <c r="F61" s="4" t="s">
        <v>351</v>
      </c>
      <c r="G61" s="4" t="s">
        <v>352</v>
      </c>
      <c r="H61" s="4" t="s">
        <v>353</v>
      </c>
      <c r="I61" s="3" t="s">
        <v>354</v>
      </c>
      <c r="J61" s="3" t="s">
        <v>355</v>
      </c>
      <c r="K61" s="3" t="s">
        <v>356</v>
      </c>
      <c r="L61" s="3" t="s">
        <v>357</v>
      </c>
      <c r="M61" s="3" t="s">
        <v>358</v>
      </c>
      <c r="N61" s="3" t="s">
        <v>21</v>
      </c>
      <c r="O61" s="3" t="s">
        <v>22</v>
      </c>
      <c r="P61" s="3">
        <v>2088</v>
      </c>
      <c r="Q61" s="3">
        <v>0</v>
      </c>
      <c r="R61" s="3">
        <v>2</v>
      </c>
      <c r="S61" s="14" t="s">
        <v>895</v>
      </c>
      <c r="T61" s="14" t="str">
        <f t="shared" si="0"/>
        <v>(11)</v>
      </c>
      <c r="U61" s="14" t="s">
        <v>956</v>
      </c>
      <c r="V61" s="11">
        <f t="shared" si="1"/>
        <v>19.157088122605366</v>
      </c>
      <c r="W61" s="11">
        <f t="shared" si="2"/>
        <v>2.3946360153256707</v>
      </c>
    </row>
    <row r="62" spans="4:23" ht="27.75" hidden="1" thickBot="1" x14ac:dyDescent="0.3">
      <c r="D62" s="3">
        <v>1</v>
      </c>
      <c r="E62" s="3" t="s">
        <v>281</v>
      </c>
      <c r="F62" s="4" t="s">
        <v>359</v>
      </c>
      <c r="G62" s="4" t="s">
        <v>360</v>
      </c>
      <c r="H62" s="4" t="s">
        <v>353</v>
      </c>
      <c r="I62" s="3" t="s">
        <v>361</v>
      </c>
      <c r="J62" s="3" t="s">
        <v>362</v>
      </c>
      <c r="K62" s="3" t="s">
        <v>363</v>
      </c>
      <c r="L62" s="3" t="s">
        <v>364</v>
      </c>
      <c r="M62" s="3" t="s">
        <v>363</v>
      </c>
      <c r="N62" s="3" t="s">
        <v>21</v>
      </c>
      <c r="O62" s="3" t="s">
        <v>22</v>
      </c>
      <c r="P62" s="3">
        <v>2229</v>
      </c>
      <c r="Q62" s="3">
        <v>0</v>
      </c>
      <c r="R62" s="3">
        <v>2</v>
      </c>
      <c r="S62" s="14" t="s">
        <v>895</v>
      </c>
      <c r="T62" s="14" t="str">
        <f t="shared" si="0"/>
        <v>(11)</v>
      </c>
      <c r="U62" s="14" t="s">
        <v>956</v>
      </c>
      <c r="V62" s="11">
        <f t="shared" si="1"/>
        <v>17.94526693584567</v>
      </c>
      <c r="W62" s="11">
        <f t="shared" si="2"/>
        <v>2.2431583669807087</v>
      </c>
    </row>
    <row r="63" spans="4:23" ht="68.25" thickBot="1" x14ac:dyDescent="0.3">
      <c r="D63" s="3">
        <v>1</v>
      </c>
      <c r="E63" s="3" t="s">
        <v>234</v>
      </c>
      <c r="F63" s="4" t="s">
        <v>860</v>
      </c>
      <c r="G63" s="4" t="s">
        <v>365</v>
      </c>
      <c r="H63" s="4" t="s">
        <v>366</v>
      </c>
      <c r="I63" s="3" t="s">
        <v>367</v>
      </c>
      <c r="J63" s="3" t="s">
        <v>368</v>
      </c>
      <c r="K63" s="3" t="s">
        <v>176</v>
      </c>
      <c r="L63" s="3" t="s">
        <v>369</v>
      </c>
      <c r="M63" s="3" t="s">
        <v>368</v>
      </c>
      <c r="N63" s="3" t="s">
        <v>21</v>
      </c>
      <c r="O63" s="3" t="s">
        <v>22</v>
      </c>
      <c r="P63" s="3">
        <v>1191.3499999999999</v>
      </c>
      <c r="Q63" s="3">
        <v>3.4000000000000002E-2</v>
      </c>
      <c r="R63" s="3">
        <v>2</v>
      </c>
      <c r="S63" s="14" t="s">
        <v>897</v>
      </c>
      <c r="T63" s="14" t="str">
        <f t="shared" si="0"/>
        <v>(10;11)</v>
      </c>
      <c r="U63" s="14" t="s">
        <v>961</v>
      </c>
      <c r="V63" s="11">
        <f t="shared" si="1"/>
        <v>33.575355688924333</v>
      </c>
      <c r="W63" s="11">
        <f t="shared" si="2"/>
        <v>4.1969194611155416</v>
      </c>
    </row>
    <row r="64" spans="4:23" ht="68.25" thickBot="1" x14ac:dyDescent="0.3">
      <c r="D64" s="3">
        <v>1</v>
      </c>
      <c r="E64" s="3" t="s">
        <v>234</v>
      </c>
      <c r="F64" s="4" t="s">
        <v>861</v>
      </c>
      <c r="G64" s="4" t="s">
        <v>370</v>
      </c>
      <c r="H64" s="4" t="s">
        <v>371</v>
      </c>
      <c r="I64" s="3" t="s">
        <v>372</v>
      </c>
      <c r="J64" s="3" t="s">
        <v>368</v>
      </c>
      <c r="K64" s="3" t="s">
        <v>279</v>
      </c>
      <c r="L64" s="3" t="s">
        <v>373</v>
      </c>
      <c r="M64" s="3" t="s">
        <v>368</v>
      </c>
      <c r="N64" s="3" t="s">
        <v>21</v>
      </c>
      <c r="O64" s="3" t="s">
        <v>22</v>
      </c>
      <c r="P64" s="3">
        <v>2643.26</v>
      </c>
      <c r="Q64" s="3">
        <v>0.02</v>
      </c>
      <c r="R64" s="3">
        <v>2</v>
      </c>
      <c r="S64" s="14" t="s">
        <v>897</v>
      </c>
      <c r="T64" s="14" t="str">
        <f t="shared" si="0"/>
        <v>(10;11)</v>
      </c>
      <c r="U64" s="14" t="s">
        <v>961</v>
      </c>
      <c r="V64" s="11">
        <f t="shared" si="1"/>
        <v>15.132828401292342</v>
      </c>
      <c r="W64" s="11">
        <f t="shared" si="2"/>
        <v>1.8916035501615427</v>
      </c>
    </row>
    <row r="65" spans="4:23" ht="68.25" thickBot="1" x14ac:dyDescent="0.3">
      <c r="D65" s="3">
        <v>1</v>
      </c>
      <c r="E65" s="3" t="s">
        <v>234</v>
      </c>
      <c r="F65" s="4" t="s">
        <v>374</v>
      </c>
      <c r="G65" s="4" t="s">
        <v>375</v>
      </c>
      <c r="H65" s="4" t="s">
        <v>376</v>
      </c>
      <c r="I65" s="3" t="s">
        <v>377</v>
      </c>
      <c r="J65" s="3" t="s">
        <v>378</v>
      </c>
      <c r="K65" s="3" t="s">
        <v>241</v>
      </c>
      <c r="L65" s="3" t="s">
        <v>379</v>
      </c>
      <c r="M65" s="3" t="s">
        <v>241</v>
      </c>
      <c r="N65" s="3" t="s">
        <v>21</v>
      </c>
      <c r="O65" s="3" t="s">
        <v>22</v>
      </c>
      <c r="P65" s="3">
        <v>1478</v>
      </c>
      <c r="Q65" s="3">
        <v>4.4999999999999998E-2</v>
      </c>
      <c r="R65" s="3">
        <v>2</v>
      </c>
      <c r="S65" s="14" t="s">
        <v>897</v>
      </c>
      <c r="T65" s="14" t="str">
        <f t="shared" si="0"/>
        <v>(CH3)3+CH3CClF2 (10;11)</v>
      </c>
      <c r="U65" s="14" t="s">
        <v>961</v>
      </c>
      <c r="V65" s="11">
        <f t="shared" si="1"/>
        <v>27.06359945872801</v>
      </c>
      <c r="W65" s="11">
        <f t="shared" si="2"/>
        <v>3.3829499323410013</v>
      </c>
    </row>
    <row r="66" spans="4:23" ht="68.25" thickBot="1" x14ac:dyDescent="0.3">
      <c r="D66" s="3">
        <v>1</v>
      </c>
      <c r="E66" s="3" t="s">
        <v>234</v>
      </c>
      <c r="F66" s="4" t="s">
        <v>380</v>
      </c>
      <c r="G66" s="4" t="s">
        <v>381</v>
      </c>
      <c r="H66" s="4" t="s">
        <v>376</v>
      </c>
      <c r="I66" s="3" t="s">
        <v>382</v>
      </c>
      <c r="J66" s="3" t="s">
        <v>239</v>
      </c>
      <c r="K66" s="3" t="s">
        <v>383</v>
      </c>
      <c r="L66" s="3" t="s">
        <v>379</v>
      </c>
      <c r="M66" s="3" t="s">
        <v>383</v>
      </c>
      <c r="N66" s="3" t="s">
        <v>21</v>
      </c>
      <c r="O66" s="3" t="s">
        <v>22</v>
      </c>
      <c r="P66" s="3">
        <v>1362</v>
      </c>
      <c r="Q66" s="3">
        <v>4.2000000000000003E-2</v>
      </c>
      <c r="R66" s="3">
        <v>2</v>
      </c>
      <c r="S66" s="14" t="s">
        <v>897</v>
      </c>
      <c r="T66" s="14" t="str">
        <f t="shared" si="0"/>
        <v>(CH3)3+CH3CClF2 (10;11)</v>
      </c>
      <c r="U66" s="14" t="s">
        <v>961</v>
      </c>
      <c r="V66" s="11">
        <f t="shared" si="1"/>
        <v>29.368575624082233</v>
      </c>
      <c r="W66" s="11">
        <f t="shared" si="2"/>
        <v>3.6710719530102791</v>
      </c>
    </row>
    <row r="67" spans="4:23" ht="68.25" thickBot="1" x14ac:dyDescent="0.3">
      <c r="D67" s="3">
        <v>1</v>
      </c>
      <c r="E67" s="3" t="s">
        <v>234</v>
      </c>
      <c r="F67" s="4" t="s">
        <v>384</v>
      </c>
      <c r="G67" s="4" t="s">
        <v>385</v>
      </c>
      <c r="H67" s="4" t="s">
        <v>386</v>
      </c>
      <c r="I67" s="3" t="s">
        <v>292</v>
      </c>
      <c r="J67" s="3" t="s">
        <v>293</v>
      </c>
      <c r="K67" s="3" t="s">
        <v>387</v>
      </c>
      <c r="L67" s="3" t="s">
        <v>388</v>
      </c>
      <c r="M67" s="3" t="s">
        <v>387</v>
      </c>
      <c r="N67" s="3" t="s">
        <v>21</v>
      </c>
      <c r="O67" s="3" t="s">
        <v>22</v>
      </c>
      <c r="P67" s="3">
        <v>1084</v>
      </c>
      <c r="Q67" s="3">
        <v>8.9999999999999993E-3</v>
      </c>
      <c r="R67" s="3">
        <v>2</v>
      </c>
      <c r="S67" s="14" t="s">
        <v>897</v>
      </c>
      <c r="T67" s="14" t="str">
        <f t="shared" si="0"/>
        <v>(10;11)</v>
      </c>
      <c r="U67" s="14" t="s">
        <v>961</v>
      </c>
      <c r="V67" s="11">
        <f t="shared" si="1"/>
        <v>36.900369003690038</v>
      </c>
      <c r="W67" s="11">
        <f t="shared" si="2"/>
        <v>4.6125461254612548</v>
      </c>
    </row>
    <row r="68" spans="4:23" ht="41.25" hidden="1" thickBot="1" x14ac:dyDescent="0.3">
      <c r="D68" s="3">
        <v>1</v>
      </c>
      <c r="E68" s="3" t="s">
        <v>234</v>
      </c>
      <c r="F68" s="4" t="s">
        <v>389</v>
      </c>
      <c r="G68" s="4" t="s">
        <v>390</v>
      </c>
      <c r="H68" s="4" t="s">
        <v>391</v>
      </c>
      <c r="I68" s="3" t="s">
        <v>392</v>
      </c>
      <c r="J68" s="3" t="s">
        <v>393</v>
      </c>
      <c r="K68" s="3" t="s">
        <v>71</v>
      </c>
      <c r="L68" s="3" t="s">
        <v>394</v>
      </c>
      <c r="M68" s="3" t="s">
        <v>395</v>
      </c>
      <c r="N68" s="3" t="s">
        <v>21</v>
      </c>
      <c r="O68" s="3" t="s">
        <v>22</v>
      </c>
      <c r="P68" s="3">
        <v>2346</v>
      </c>
      <c r="Q68" s="3">
        <v>0</v>
      </c>
      <c r="R68" s="3">
        <v>2</v>
      </c>
      <c r="S68" s="14" t="s">
        <v>895</v>
      </c>
      <c r="T68" s="14" t="str">
        <f t="shared" si="0"/>
        <v>(11)</v>
      </c>
      <c r="U68" s="14" t="s">
        <v>956</v>
      </c>
      <c r="V68" s="11">
        <f t="shared" si="1"/>
        <v>17.050298380221655</v>
      </c>
      <c r="W68" s="11">
        <f t="shared" si="2"/>
        <v>2.1312872975277068</v>
      </c>
    </row>
    <row r="69" spans="4:23" ht="41.25" hidden="1" thickBot="1" x14ac:dyDescent="0.3">
      <c r="D69" s="3">
        <v>1</v>
      </c>
      <c r="E69" s="3" t="s">
        <v>396</v>
      </c>
      <c r="F69" s="4" t="s">
        <v>397</v>
      </c>
      <c r="G69" s="4" t="s">
        <v>398</v>
      </c>
      <c r="H69" s="4" t="s">
        <v>391</v>
      </c>
      <c r="I69" s="3" t="s">
        <v>399</v>
      </c>
      <c r="J69" s="3" t="s">
        <v>400</v>
      </c>
      <c r="K69" s="3" t="s">
        <v>401</v>
      </c>
      <c r="L69" s="3" t="s">
        <v>402</v>
      </c>
      <c r="M69" s="3" t="s">
        <v>401</v>
      </c>
      <c r="N69" s="3" t="s">
        <v>21</v>
      </c>
      <c r="O69" s="3" t="s">
        <v>22</v>
      </c>
      <c r="P69" s="3">
        <v>3027</v>
      </c>
      <c r="Q69" s="3">
        <v>0</v>
      </c>
      <c r="R69" s="3">
        <v>2</v>
      </c>
      <c r="S69" s="14" t="s">
        <v>895</v>
      </c>
      <c r="T69" s="14" t="str">
        <f t="shared" si="0"/>
        <v>(11)</v>
      </c>
      <c r="U69" s="14" t="s">
        <v>956</v>
      </c>
      <c r="V69" s="11">
        <f t="shared" si="1"/>
        <v>13.214403700033037</v>
      </c>
      <c r="W69" s="11">
        <f t="shared" si="2"/>
        <v>1.6518004625041296</v>
      </c>
    </row>
    <row r="70" spans="4:23" ht="41.25" hidden="1" thickBot="1" x14ac:dyDescent="0.3">
      <c r="D70" s="3">
        <v>1</v>
      </c>
      <c r="E70" s="3" t="s">
        <v>234</v>
      </c>
      <c r="F70" s="4" t="s">
        <v>403</v>
      </c>
      <c r="G70" s="4" t="s">
        <v>404</v>
      </c>
      <c r="H70" s="4" t="s">
        <v>391</v>
      </c>
      <c r="I70" s="6" t="s">
        <v>405</v>
      </c>
      <c r="J70" s="6" t="s">
        <v>406</v>
      </c>
      <c r="K70" s="6" t="s">
        <v>407</v>
      </c>
      <c r="L70" s="6" t="s">
        <v>408</v>
      </c>
      <c r="M70" s="6" t="s">
        <v>409</v>
      </c>
      <c r="N70" s="6" t="s">
        <v>21</v>
      </c>
      <c r="O70" s="6" t="s">
        <v>22</v>
      </c>
      <c r="P70" s="6">
        <v>1809</v>
      </c>
      <c r="Q70" s="3">
        <v>0</v>
      </c>
      <c r="R70" s="6">
        <v>2</v>
      </c>
      <c r="S70" s="14" t="s">
        <v>895</v>
      </c>
      <c r="T70" s="14" t="str">
        <f t="shared" si="0"/>
        <v>(11)</v>
      </c>
      <c r="U70" s="14" t="s">
        <v>956</v>
      </c>
      <c r="V70" s="11">
        <f t="shared" si="1"/>
        <v>22.111663902708678</v>
      </c>
      <c r="W70" s="11">
        <f t="shared" si="2"/>
        <v>2.7639579878385847</v>
      </c>
    </row>
    <row r="71" spans="4:23" ht="27.75" hidden="1" thickBot="1" x14ac:dyDescent="0.3">
      <c r="D71" s="3">
        <v>1</v>
      </c>
      <c r="E71" s="3" t="s">
        <v>234</v>
      </c>
      <c r="F71" s="4" t="s">
        <v>410</v>
      </c>
      <c r="G71" s="4" t="s">
        <v>411</v>
      </c>
      <c r="H71" s="4" t="s">
        <v>412</v>
      </c>
      <c r="I71" s="6" t="s">
        <v>413</v>
      </c>
      <c r="J71" s="6">
        <v>1.18</v>
      </c>
      <c r="K71" s="6" t="s">
        <v>414</v>
      </c>
      <c r="L71" s="6" t="s">
        <v>415</v>
      </c>
      <c r="M71" s="6" t="s">
        <v>21</v>
      </c>
      <c r="N71" s="3" t="s">
        <v>21</v>
      </c>
      <c r="O71" s="6" t="s">
        <v>22</v>
      </c>
      <c r="P71" s="6">
        <v>3804.85</v>
      </c>
      <c r="Q71" s="3">
        <v>0</v>
      </c>
      <c r="R71" s="6">
        <v>2</v>
      </c>
      <c r="S71" s="14" t="s">
        <v>895</v>
      </c>
      <c r="T71" s="14" t="str">
        <f t="shared" si="0"/>
        <v>(11)</v>
      </c>
      <c r="U71" s="14" t="s">
        <v>958</v>
      </c>
      <c r="V71" s="11">
        <f t="shared" si="1"/>
        <v>10.512898011748163</v>
      </c>
      <c r="W71" s="11">
        <f t="shared" si="2"/>
        <v>1.3141122514685204</v>
      </c>
    </row>
    <row r="72" spans="4:23" ht="68.25" thickBot="1" x14ac:dyDescent="0.3">
      <c r="D72" s="3">
        <v>1</v>
      </c>
      <c r="E72" s="3" t="s">
        <v>234</v>
      </c>
      <c r="F72" s="4" t="s">
        <v>416</v>
      </c>
      <c r="G72" s="4" t="s">
        <v>417</v>
      </c>
      <c r="H72" s="4" t="s">
        <v>418</v>
      </c>
      <c r="I72" s="6" t="s">
        <v>419</v>
      </c>
      <c r="J72" s="6" t="s">
        <v>260</v>
      </c>
      <c r="K72" s="6" t="s">
        <v>420</v>
      </c>
      <c r="L72" s="6" t="s">
        <v>421</v>
      </c>
      <c r="M72" s="6" t="s">
        <v>420</v>
      </c>
      <c r="N72" s="6" t="s">
        <v>21</v>
      </c>
      <c r="O72" s="6" t="s">
        <v>22</v>
      </c>
      <c r="P72" s="6">
        <v>1536</v>
      </c>
      <c r="Q72" s="3">
        <v>5.0000000000000001E-3</v>
      </c>
      <c r="R72" s="6">
        <v>2</v>
      </c>
      <c r="S72" s="14" t="s">
        <v>897</v>
      </c>
      <c r="T72" s="14" t="str">
        <f t="shared" si="0"/>
        <v>(10;11)</v>
      </c>
      <c r="U72" s="14" t="s">
        <v>961</v>
      </c>
      <c r="V72" s="11">
        <f t="shared" si="1"/>
        <v>26.041666666666668</v>
      </c>
      <c r="W72" s="11">
        <f t="shared" si="2"/>
        <v>3.2552083333333335</v>
      </c>
    </row>
    <row r="73" spans="4:23" ht="27.75" hidden="1" thickBot="1" x14ac:dyDescent="0.3">
      <c r="D73" s="3">
        <v>1</v>
      </c>
      <c r="E73" s="3" t="s">
        <v>234</v>
      </c>
      <c r="F73" s="4" t="s">
        <v>422</v>
      </c>
      <c r="G73" s="4" t="s">
        <v>423</v>
      </c>
      <c r="H73" s="4" t="s">
        <v>424</v>
      </c>
      <c r="I73" s="6" t="s">
        <v>425</v>
      </c>
      <c r="J73" s="6" t="s">
        <v>426</v>
      </c>
      <c r="K73" s="6" t="s">
        <v>427</v>
      </c>
      <c r="L73" s="6" t="s">
        <v>428</v>
      </c>
      <c r="M73" s="6" t="s">
        <v>427</v>
      </c>
      <c r="N73" s="6" t="s">
        <v>21</v>
      </c>
      <c r="O73" s="6" t="s">
        <v>22</v>
      </c>
      <c r="P73" s="6">
        <v>2631</v>
      </c>
      <c r="Q73" s="3">
        <v>0</v>
      </c>
      <c r="R73" s="6">
        <v>2</v>
      </c>
      <c r="S73" s="14" t="s">
        <v>895</v>
      </c>
      <c r="T73" s="14" t="str">
        <f t="shared" si="0"/>
        <v>(11)</v>
      </c>
      <c r="U73" s="14" t="s">
        <v>956</v>
      </c>
      <c r="V73" s="11">
        <f t="shared" si="1"/>
        <v>15.203344735841885</v>
      </c>
      <c r="W73" s="11">
        <f t="shared" si="2"/>
        <v>1.9004180919802356</v>
      </c>
    </row>
    <row r="74" spans="4:23" ht="27.75" hidden="1" thickBot="1" x14ac:dyDescent="0.3">
      <c r="D74" s="3">
        <v>1</v>
      </c>
      <c r="E74" s="3" t="s">
        <v>234</v>
      </c>
      <c r="F74" s="4" t="s">
        <v>429</v>
      </c>
      <c r="G74" s="4" t="s">
        <v>430</v>
      </c>
      <c r="H74" s="4" t="s">
        <v>424</v>
      </c>
      <c r="I74" s="3" t="s">
        <v>431</v>
      </c>
      <c r="J74" s="3" t="s">
        <v>432</v>
      </c>
      <c r="K74" s="3" t="s">
        <v>178</v>
      </c>
      <c r="L74" s="3" t="s">
        <v>433</v>
      </c>
      <c r="M74" s="3" t="s">
        <v>178</v>
      </c>
      <c r="N74" s="3" t="s">
        <v>21</v>
      </c>
      <c r="O74" s="3" t="s">
        <v>22</v>
      </c>
      <c r="P74" s="3">
        <v>3190</v>
      </c>
      <c r="Q74" s="3">
        <v>0</v>
      </c>
      <c r="R74" s="3">
        <v>2</v>
      </c>
      <c r="S74" s="14" t="s">
        <v>895</v>
      </c>
      <c r="T74" s="14" t="str">
        <f t="shared" si="0"/>
        <v>(11)</v>
      </c>
      <c r="U74" s="14" t="s">
        <v>956</v>
      </c>
      <c r="V74" s="11">
        <f t="shared" si="1"/>
        <v>12.539184952978056</v>
      </c>
      <c r="W74" s="11">
        <f t="shared" si="2"/>
        <v>1.567398119122257</v>
      </c>
    </row>
    <row r="75" spans="4:23" ht="27.75" hidden="1" thickBot="1" x14ac:dyDescent="0.3">
      <c r="D75" s="3">
        <v>1</v>
      </c>
      <c r="E75" s="3" t="s">
        <v>234</v>
      </c>
      <c r="F75" s="4" t="s">
        <v>434</v>
      </c>
      <c r="G75" s="4" t="s">
        <v>435</v>
      </c>
      <c r="H75" s="7" t="s">
        <v>436</v>
      </c>
      <c r="I75" s="3" t="s">
        <v>437</v>
      </c>
      <c r="J75" s="3" t="s">
        <v>438</v>
      </c>
      <c r="K75" s="3">
        <v>0.28999999999999998</v>
      </c>
      <c r="L75" s="3" t="s">
        <v>439</v>
      </c>
      <c r="M75" s="3" t="s">
        <v>171</v>
      </c>
      <c r="N75" s="3" t="s">
        <v>21</v>
      </c>
      <c r="O75" s="3" t="s">
        <v>22</v>
      </c>
      <c r="P75" s="3">
        <v>3143</v>
      </c>
      <c r="Q75" s="3">
        <v>0</v>
      </c>
      <c r="R75" s="3">
        <v>2</v>
      </c>
      <c r="S75" s="14" t="s">
        <v>895</v>
      </c>
      <c r="T75" s="14" t="str">
        <f t="shared" ref="T75:T138" si="3">+MID(H75,FIND("(",H75),LEN(H75)-FIND("(",H75)+1)</f>
        <v>(CH3)3 (11)</v>
      </c>
      <c r="U75" s="14" t="s">
        <v>956</v>
      </c>
      <c r="V75" s="11">
        <f t="shared" ref="V75:V138" si="4">40000*1/P75</f>
        <v>12.726694241170856</v>
      </c>
      <c r="W75" s="11">
        <f t="shared" ref="W75:W138" si="5">5000/P75</f>
        <v>1.590836780146357</v>
      </c>
    </row>
    <row r="76" spans="4:23" ht="27.75" hidden="1" thickBot="1" x14ac:dyDescent="0.3">
      <c r="D76" s="3">
        <v>1</v>
      </c>
      <c r="E76" s="3" t="s">
        <v>234</v>
      </c>
      <c r="F76" s="4" t="s">
        <v>440</v>
      </c>
      <c r="G76" s="4" t="s">
        <v>441</v>
      </c>
      <c r="H76" s="7" t="s">
        <v>442</v>
      </c>
      <c r="I76" s="3" t="s">
        <v>443</v>
      </c>
      <c r="J76" s="3" t="s">
        <v>444</v>
      </c>
      <c r="K76" s="3" t="s">
        <v>117</v>
      </c>
      <c r="L76" s="3" t="s">
        <v>445</v>
      </c>
      <c r="M76" s="3" t="s">
        <v>117</v>
      </c>
      <c r="N76" s="3" t="s">
        <v>21</v>
      </c>
      <c r="O76" s="3" t="s">
        <v>22</v>
      </c>
      <c r="P76" s="3">
        <v>2526</v>
      </c>
      <c r="Q76" s="3">
        <v>0</v>
      </c>
      <c r="R76" s="3">
        <v>2</v>
      </c>
      <c r="S76" s="14" t="s">
        <v>895</v>
      </c>
      <c r="T76" s="14" t="str">
        <f t="shared" si="3"/>
        <v>(CH3)3 (11)</v>
      </c>
      <c r="U76" s="14" t="s">
        <v>956</v>
      </c>
      <c r="V76" s="11">
        <f t="shared" si="4"/>
        <v>15.835312747426762</v>
      </c>
      <c r="W76" s="11">
        <f t="shared" si="5"/>
        <v>1.9794140934283453</v>
      </c>
    </row>
    <row r="77" spans="4:23" ht="27.75" hidden="1" thickBot="1" x14ac:dyDescent="0.3">
      <c r="D77" s="3">
        <v>1</v>
      </c>
      <c r="E77" s="3" t="s">
        <v>234</v>
      </c>
      <c r="F77" s="4" t="s">
        <v>446</v>
      </c>
      <c r="G77" s="4" t="s">
        <v>447</v>
      </c>
      <c r="H77" s="7" t="s">
        <v>442</v>
      </c>
      <c r="I77" s="3" t="s">
        <v>448</v>
      </c>
      <c r="J77" s="3" t="s">
        <v>449</v>
      </c>
      <c r="K77" s="3" t="s">
        <v>171</v>
      </c>
      <c r="L77" s="3" t="s">
        <v>450</v>
      </c>
      <c r="M77" s="3" t="s">
        <v>171</v>
      </c>
      <c r="N77" s="3" t="s">
        <v>21</v>
      </c>
      <c r="O77" s="3" t="s">
        <v>22</v>
      </c>
      <c r="P77" s="3">
        <v>3085</v>
      </c>
      <c r="Q77" s="3">
        <v>0</v>
      </c>
      <c r="R77" s="3">
        <v>2</v>
      </c>
      <c r="S77" s="14" t="s">
        <v>895</v>
      </c>
      <c r="T77" s="14" t="str">
        <f t="shared" si="3"/>
        <v>(CH3)3 (11)</v>
      </c>
      <c r="U77" s="14" t="s">
        <v>956</v>
      </c>
      <c r="V77" s="11">
        <f t="shared" si="4"/>
        <v>12.965964343598054</v>
      </c>
      <c r="W77" s="11">
        <f t="shared" si="5"/>
        <v>1.6207455429497568</v>
      </c>
    </row>
    <row r="78" spans="4:23" ht="27.75" hidden="1" thickBot="1" x14ac:dyDescent="0.3">
      <c r="D78" s="3">
        <v>1</v>
      </c>
      <c r="E78" s="3" t="s">
        <v>451</v>
      </c>
      <c r="F78" s="4" t="s">
        <v>854</v>
      </c>
      <c r="G78" s="4" t="s">
        <v>452</v>
      </c>
      <c r="H78" s="7" t="s">
        <v>453</v>
      </c>
      <c r="I78" s="3" t="s">
        <v>454</v>
      </c>
      <c r="J78" s="3" t="s">
        <v>455</v>
      </c>
      <c r="K78" s="3">
        <v>0.26</v>
      </c>
      <c r="L78" s="3" t="s">
        <v>456</v>
      </c>
      <c r="M78" s="3" t="s">
        <v>295</v>
      </c>
      <c r="N78" s="3" t="s">
        <v>21</v>
      </c>
      <c r="O78" s="3" t="s">
        <v>22</v>
      </c>
      <c r="P78" s="3">
        <v>2729</v>
      </c>
      <c r="Q78" s="3">
        <v>0</v>
      </c>
      <c r="R78" s="3">
        <v>2</v>
      </c>
      <c r="S78" s="14" t="s">
        <v>895</v>
      </c>
      <c r="T78" s="14" t="str">
        <f t="shared" si="3"/>
        <v>(CH3)3(11)</v>
      </c>
      <c r="U78" s="14" t="s">
        <v>956</v>
      </c>
      <c r="V78" s="11">
        <f t="shared" si="4"/>
        <v>14.657383657017222</v>
      </c>
      <c r="W78" s="11">
        <f t="shared" si="5"/>
        <v>1.8321729571271528</v>
      </c>
    </row>
    <row r="79" spans="4:23" ht="27.75" hidden="1" thickBot="1" x14ac:dyDescent="0.3">
      <c r="D79" s="3">
        <v>1</v>
      </c>
      <c r="E79" s="3" t="s">
        <v>234</v>
      </c>
      <c r="F79" s="4" t="s">
        <v>457</v>
      </c>
      <c r="G79" s="4" t="s">
        <v>458</v>
      </c>
      <c r="H79" s="7" t="s">
        <v>442</v>
      </c>
      <c r="I79" s="3" t="s">
        <v>459</v>
      </c>
      <c r="J79" s="3" t="s">
        <v>460</v>
      </c>
      <c r="K79" s="3" t="s">
        <v>295</v>
      </c>
      <c r="L79" s="3" t="s">
        <v>461</v>
      </c>
      <c r="M79" s="3" t="s">
        <v>295</v>
      </c>
      <c r="N79" s="3" t="s">
        <v>21</v>
      </c>
      <c r="O79" s="3" t="s">
        <v>22</v>
      </c>
      <c r="P79" s="3">
        <v>2592</v>
      </c>
      <c r="Q79" s="3">
        <v>0</v>
      </c>
      <c r="R79" s="3">
        <v>2</v>
      </c>
      <c r="S79" s="14" t="s">
        <v>895</v>
      </c>
      <c r="T79" s="14" t="str">
        <f t="shared" si="3"/>
        <v>(CH3)3 (11)</v>
      </c>
      <c r="U79" s="14" t="s">
        <v>956</v>
      </c>
      <c r="V79" s="11">
        <f t="shared" si="4"/>
        <v>15.432098765432098</v>
      </c>
      <c r="W79" s="11">
        <f t="shared" si="5"/>
        <v>1.9290123456790123</v>
      </c>
    </row>
    <row r="80" spans="4:23" ht="27.75" hidden="1" thickBot="1" x14ac:dyDescent="0.3">
      <c r="D80" s="3">
        <v>1</v>
      </c>
      <c r="E80" s="3" t="s">
        <v>234</v>
      </c>
      <c r="F80" s="4" t="s">
        <v>462</v>
      </c>
      <c r="G80" s="4" t="s">
        <v>463</v>
      </c>
      <c r="H80" s="7" t="s">
        <v>464</v>
      </c>
      <c r="I80" s="3" t="s">
        <v>465</v>
      </c>
      <c r="J80" s="3" t="s">
        <v>466</v>
      </c>
      <c r="K80" s="3" t="s">
        <v>467</v>
      </c>
      <c r="L80" s="3" t="s">
        <v>468</v>
      </c>
      <c r="M80" s="3" t="s">
        <v>467</v>
      </c>
      <c r="N80" s="3" t="s">
        <v>21</v>
      </c>
      <c r="O80" s="3" t="s">
        <v>22</v>
      </c>
      <c r="P80" s="3">
        <v>2280</v>
      </c>
      <c r="Q80" s="3">
        <v>0</v>
      </c>
      <c r="R80" s="3">
        <v>2</v>
      </c>
      <c r="S80" s="14" t="s">
        <v>895</v>
      </c>
      <c r="T80" s="14" t="str">
        <f t="shared" si="3"/>
        <v>(11)</v>
      </c>
      <c r="U80" s="14" t="s">
        <v>956</v>
      </c>
      <c r="V80" s="11">
        <f t="shared" si="4"/>
        <v>17.543859649122808</v>
      </c>
      <c r="W80" s="11">
        <f t="shared" si="5"/>
        <v>2.192982456140351</v>
      </c>
    </row>
    <row r="81" spans="4:23" ht="54.75" hidden="1" thickBot="1" x14ac:dyDescent="0.3">
      <c r="D81" s="3">
        <v>1</v>
      </c>
      <c r="E81" s="3" t="s">
        <v>234</v>
      </c>
      <c r="F81" s="4" t="s">
        <v>469</v>
      </c>
      <c r="G81" s="4" t="s">
        <v>470</v>
      </c>
      <c r="H81" s="4" t="s">
        <v>471</v>
      </c>
      <c r="I81" s="3">
        <v>108.4</v>
      </c>
      <c r="J81" s="3" t="s">
        <v>472</v>
      </c>
      <c r="K81" s="3">
        <v>0.1</v>
      </c>
      <c r="L81" s="3" t="s">
        <v>473</v>
      </c>
      <c r="M81" s="3" t="s">
        <v>241</v>
      </c>
      <c r="N81" s="3" t="s">
        <v>21</v>
      </c>
      <c r="O81" s="3" t="s">
        <v>22</v>
      </c>
      <c r="P81" s="3">
        <v>2440</v>
      </c>
      <c r="Q81" s="3">
        <v>0</v>
      </c>
      <c r="R81" s="3">
        <v>2</v>
      </c>
      <c r="S81" s="14" t="s">
        <v>895</v>
      </c>
      <c r="T81" s="14" t="str">
        <f t="shared" si="3"/>
        <v>(11)</v>
      </c>
      <c r="U81" s="14" t="s">
        <v>956</v>
      </c>
      <c r="V81" s="11">
        <f t="shared" si="4"/>
        <v>16.393442622950818</v>
      </c>
      <c r="W81" s="11">
        <f t="shared" si="5"/>
        <v>2.0491803278688523</v>
      </c>
    </row>
    <row r="82" spans="4:23" ht="41.25" hidden="1" thickBot="1" x14ac:dyDescent="0.3">
      <c r="D82" s="3">
        <v>1</v>
      </c>
      <c r="E82" s="3" t="s">
        <v>234</v>
      </c>
      <c r="F82" s="4" t="s">
        <v>474</v>
      </c>
      <c r="G82" s="4" t="s">
        <v>475</v>
      </c>
      <c r="H82" s="4" t="s">
        <v>476</v>
      </c>
      <c r="I82" s="3" t="s">
        <v>477</v>
      </c>
      <c r="J82" s="3" t="s">
        <v>478</v>
      </c>
      <c r="K82" s="3" t="s">
        <v>262</v>
      </c>
      <c r="L82" s="3" t="s">
        <v>479</v>
      </c>
      <c r="M82" s="3" t="s">
        <v>262</v>
      </c>
      <c r="N82" s="3" t="s">
        <v>21</v>
      </c>
      <c r="O82" s="3" t="s">
        <v>22</v>
      </c>
      <c r="P82" s="3">
        <v>1505</v>
      </c>
      <c r="Q82" s="3">
        <v>0</v>
      </c>
      <c r="R82" s="3">
        <v>2</v>
      </c>
      <c r="S82" s="14" t="s">
        <v>895</v>
      </c>
      <c r="T82" s="14" t="str">
        <f t="shared" si="3"/>
        <v>(11)</v>
      </c>
      <c r="U82" s="14" t="s">
        <v>956</v>
      </c>
      <c r="V82" s="11">
        <f t="shared" si="4"/>
        <v>26.578073089700997</v>
      </c>
      <c r="W82" s="11">
        <f t="shared" si="5"/>
        <v>3.3222591362126246</v>
      </c>
    </row>
    <row r="83" spans="4:23" ht="41.25" hidden="1" thickBot="1" x14ac:dyDescent="0.3">
      <c r="D83" s="3">
        <v>1</v>
      </c>
      <c r="E83" s="3" t="s">
        <v>234</v>
      </c>
      <c r="F83" s="4" t="s">
        <v>480</v>
      </c>
      <c r="G83" s="4" t="s">
        <v>481</v>
      </c>
      <c r="H83" s="4" t="s">
        <v>482</v>
      </c>
      <c r="I83" s="3">
        <v>101.6</v>
      </c>
      <c r="J83" s="3" t="s">
        <v>260</v>
      </c>
      <c r="K83" s="3">
        <v>8.3000000000000004E-2</v>
      </c>
      <c r="L83" s="3" t="s">
        <v>483</v>
      </c>
      <c r="M83" s="3" t="s">
        <v>255</v>
      </c>
      <c r="N83" s="3" t="s">
        <v>21</v>
      </c>
      <c r="O83" s="3" t="s">
        <v>22</v>
      </c>
      <c r="P83" s="3">
        <v>1508</v>
      </c>
      <c r="Q83" s="3">
        <v>0</v>
      </c>
      <c r="R83" s="3">
        <v>2</v>
      </c>
      <c r="S83" s="14" t="s">
        <v>895</v>
      </c>
      <c r="T83" s="14" t="str">
        <f t="shared" si="3"/>
        <v>(11)</v>
      </c>
      <c r="U83" s="14" t="s">
        <v>956</v>
      </c>
      <c r="V83" s="11">
        <f t="shared" si="4"/>
        <v>26.525198938992041</v>
      </c>
      <c r="W83" s="11">
        <f t="shared" si="5"/>
        <v>3.3156498673740051</v>
      </c>
    </row>
    <row r="84" spans="4:23" ht="41.25" hidden="1" thickBot="1" x14ac:dyDescent="0.3">
      <c r="D84" s="3">
        <v>1</v>
      </c>
      <c r="E84" s="3" t="s">
        <v>234</v>
      </c>
      <c r="F84" s="4" t="s">
        <v>484</v>
      </c>
      <c r="G84" s="4" t="s">
        <v>485</v>
      </c>
      <c r="H84" s="4" t="s">
        <v>486</v>
      </c>
      <c r="I84" s="3">
        <v>97.87</v>
      </c>
      <c r="J84" s="3" t="s">
        <v>368</v>
      </c>
      <c r="K84" s="3">
        <v>0.15</v>
      </c>
      <c r="L84" s="3" t="s">
        <v>487</v>
      </c>
      <c r="M84" s="3" t="s">
        <v>368</v>
      </c>
      <c r="N84" s="3" t="s">
        <v>488</v>
      </c>
      <c r="O84" s="3">
        <v>0.27800000000000002</v>
      </c>
      <c r="P84" s="3">
        <v>1622.91</v>
      </c>
      <c r="Q84" s="3">
        <v>0</v>
      </c>
      <c r="R84" s="3">
        <v>1</v>
      </c>
      <c r="S84" s="14" t="s">
        <v>895</v>
      </c>
      <c r="T84" s="14" t="str">
        <f t="shared" si="3"/>
        <v>(11)</v>
      </c>
      <c r="U84" s="14" t="s">
        <v>956</v>
      </c>
      <c r="V84" s="11">
        <f t="shared" si="4"/>
        <v>24.647084557985345</v>
      </c>
      <c r="W84" s="11">
        <f t="shared" si="5"/>
        <v>3.0808855697481681</v>
      </c>
    </row>
    <row r="85" spans="4:23" ht="54.75" hidden="1" thickBot="1" x14ac:dyDescent="0.3">
      <c r="D85" s="3">
        <v>1</v>
      </c>
      <c r="E85" s="3" t="s">
        <v>234</v>
      </c>
      <c r="F85" s="4" t="s">
        <v>489</v>
      </c>
      <c r="G85" s="4" t="s">
        <v>490</v>
      </c>
      <c r="H85" s="4" t="s">
        <v>491</v>
      </c>
      <c r="I85" s="3">
        <v>90.4</v>
      </c>
      <c r="J85" s="3" t="s">
        <v>492</v>
      </c>
      <c r="K85" s="3">
        <v>0.28999999999999998</v>
      </c>
      <c r="L85" s="3" t="s">
        <v>493</v>
      </c>
      <c r="M85" s="3" t="s">
        <v>171</v>
      </c>
      <c r="N85" s="3" t="s">
        <v>21</v>
      </c>
      <c r="O85" s="3" t="s">
        <v>22</v>
      </c>
      <c r="P85" s="3">
        <v>2138</v>
      </c>
      <c r="Q85" s="3">
        <v>0</v>
      </c>
      <c r="R85" s="3">
        <v>2</v>
      </c>
      <c r="S85" s="14" t="s">
        <v>895</v>
      </c>
      <c r="T85" s="14" t="str">
        <f t="shared" si="3"/>
        <v>(11)</v>
      </c>
      <c r="U85" s="14" t="s">
        <v>956</v>
      </c>
      <c r="V85" s="11">
        <f t="shared" si="4"/>
        <v>18.709073900841908</v>
      </c>
      <c r="W85" s="11">
        <f t="shared" si="5"/>
        <v>2.3386342376052385</v>
      </c>
    </row>
    <row r="86" spans="4:23" ht="37.9" hidden="1" customHeight="1" thickBot="1" x14ac:dyDescent="0.3">
      <c r="D86" s="3">
        <v>1</v>
      </c>
      <c r="E86" s="3" t="s">
        <v>234</v>
      </c>
      <c r="F86" s="4" t="s">
        <v>494</v>
      </c>
      <c r="G86" s="4" t="s">
        <v>495</v>
      </c>
      <c r="H86" s="4" t="s">
        <v>496</v>
      </c>
      <c r="I86" s="3">
        <v>107.5</v>
      </c>
      <c r="J86" s="3" t="s">
        <v>497</v>
      </c>
      <c r="K86" s="3">
        <v>0.37</v>
      </c>
      <c r="L86" s="3" t="s">
        <v>498</v>
      </c>
      <c r="M86" s="3" t="s">
        <v>111</v>
      </c>
      <c r="N86" s="3" t="s">
        <v>21</v>
      </c>
      <c r="O86" s="3" t="s">
        <v>22</v>
      </c>
      <c r="P86" s="3">
        <v>3607</v>
      </c>
      <c r="Q86" s="3">
        <v>0</v>
      </c>
      <c r="R86" s="3">
        <v>2</v>
      </c>
      <c r="S86" s="14" t="s">
        <v>895</v>
      </c>
      <c r="T86" s="14" t="str">
        <f t="shared" si="3"/>
        <v>(11)</v>
      </c>
      <c r="U86" s="14" t="s">
        <v>956</v>
      </c>
      <c r="V86" s="11">
        <f t="shared" si="4"/>
        <v>11.089548100914888</v>
      </c>
      <c r="W86" s="11">
        <f t="shared" si="5"/>
        <v>1.386193512614361</v>
      </c>
    </row>
    <row r="87" spans="4:23" ht="41.25" hidden="1" thickBot="1" x14ac:dyDescent="0.3">
      <c r="D87" s="3">
        <v>1</v>
      </c>
      <c r="E87" s="3" t="s">
        <v>234</v>
      </c>
      <c r="F87" s="4" t="s">
        <v>499</v>
      </c>
      <c r="G87" s="4" t="s">
        <v>500</v>
      </c>
      <c r="H87" s="4" t="s">
        <v>501</v>
      </c>
      <c r="I87" s="3">
        <v>105.7</v>
      </c>
      <c r="J87" s="3" t="s">
        <v>502</v>
      </c>
      <c r="K87" s="3">
        <v>0.32</v>
      </c>
      <c r="L87" s="3" t="s">
        <v>503</v>
      </c>
      <c r="M87" s="3" t="s">
        <v>267</v>
      </c>
      <c r="N87" s="3" t="s">
        <v>21</v>
      </c>
      <c r="O87" s="3" t="s">
        <v>22</v>
      </c>
      <c r="P87" s="3">
        <v>3245</v>
      </c>
      <c r="Q87" s="3">
        <v>0</v>
      </c>
      <c r="R87" s="3">
        <v>2</v>
      </c>
      <c r="S87" s="14" t="s">
        <v>895</v>
      </c>
      <c r="T87" s="14" t="str">
        <f t="shared" si="3"/>
        <v>(11)</v>
      </c>
      <c r="U87" s="14" t="s">
        <v>956</v>
      </c>
      <c r="V87" s="11">
        <f t="shared" si="4"/>
        <v>12.326656394453005</v>
      </c>
      <c r="W87" s="11">
        <f t="shared" si="5"/>
        <v>1.5408320493066257</v>
      </c>
    </row>
    <row r="88" spans="4:23" ht="54.75" hidden="1" thickBot="1" x14ac:dyDescent="0.3">
      <c r="D88" s="3">
        <v>1</v>
      </c>
      <c r="E88" s="3" t="s">
        <v>234</v>
      </c>
      <c r="F88" s="4" t="s">
        <v>504</v>
      </c>
      <c r="G88" s="4" t="s">
        <v>505</v>
      </c>
      <c r="H88" s="4" t="s">
        <v>506</v>
      </c>
      <c r="I88" s="3" t="s">
        <v>507</v>
      </c>
      <c r="J88" s="3" t="s">
        <v>406</v>
      </c>
      <c r="K88" s="3">
        <v>8.1000000000000003E-2</v>
      </c>
      <c r="L88" s="3" t="s">
        <v>508</v>
      </c>
      <c r="M88" s="3" t="s">
        <v>509</v>
      </c>
      <c r="N88" s="3" t="s">
        <v>21</v>
      </c>
      <c r="O88" s="3" t="s">
        <v>22</v>
      </c>
      <c r="P88" s="3">
        <v>1805</v>
      </c>
      <c r="Q88" s="3">
        <v>0</v>
      </c>
      <c r="R88" s="3">
        <v>2</v>
      </c>
      <c r="S88" s="14" t="s">
        <v>895</v>
      </c>
      <c r="T88" s="14" t="str">
        <f t="shared" si="3"/>
        <v>(CH3)3+ CH3CH2CH2+CH2CH3 (11)</v>
      </c>
      <c r="U88" s="14" t="s">
        <v>956</v>
      </c>
      <c r="V88" s="11">
        <f t="shared" si="4"/>
        <v>22.1606648199446</v>
      </c>
      <c r="W88" s="11">
        <f t="shared" si="5"/>
        <v>2.770083102493075</v>
      </c>
    </row>
    <row r="89" spans="4:23" ht="41.25" hidden="1" thickBot="1" x14ac:dyDescent="0.3">
      <c r="D89" s="3">
        <v>1</v>
      </c>
      <c r="E89" s="3" t="s">
        <v>234</v>
      </c>
      <c r="F89" s="4" t="s">
        <v>862</v>
      </c>
      <c r="G89" s="4" t="s">
        <v>511</v>
      </c>
      <c r="H89" s="4" t="s">
        <v>512</v>
      </c>
      <c r="I89" s="3" t="s">
        <v>513</v>
      </c>
      <c r="J89" s="3">
        <v>4.4800000000000004</v>
      </c>
      <c r="K89" s="3" t="s">
        <v>262</v>
      </c>
      <c r="L89" s="3" t="s">
        <v>514</v>
      </c>
      <c r="M89" s="3" t="s">
        <v>205</v>
      </c>
      <c r="N89" s="3" t="s">
        <v>21</v>
      </c>
      <c r="O89" s="3" t="s">
        <v>22</v>
      </c>
      <c r="P89" s="3">
        <v>1953.7</v>
      </c>
      <c r="Q89" s="3">
        <v>0</v>
      </c>
      <c r="R89" s="3">
        <v>2</v>
      </c>
      <c r="S89" s="14" t="s">
        <v>895</v>
      </c>
      <c r="T89" s="14" t="str">
        <f t="shared" si="3"/>
        <v>(11)</v>
      </c>
      <c r="U89" s="14" t="s">
        <v>958</v>
      </c>
      <c r="V89" s="11">
        <f t="shared" si="4"/>
        <v>20.473972462507039</v>
      </c>
      <c r="W89" s="11">
        <f t="shared" si="5"/>
        <v>2.5592465578133798</v>
      </c>
    </row>
    <row r="90" spans="4:23" ht="81.75" hidden="1" thickBot="1" x14ac:dyDescent="0.3">
      <c r="D90" s="3">
        <v>1</v>
      </c>
      <c r="E90" s="3" t="s">
        <v>234</v>
      </c>
      <c r="F90" s="4" t="s">
        <v>515</v>
      </c>
      <c r="G90" s="4" t="s">
        <v>516</v>
      </c>
      <c r="H90" s="4" t="s">
        <v>517</v>
      </c>
      <c r="I90" s="3" t="s">
        <v>518</v>
      </c>
      <c r="J90" s="3" t="s">
        <v>519</v>
      </c>
      <c r="K90" s="3" t="s">
        <v>520</v>
      </c>
      <c r="L90" s="3" t="s">
        <v>521</v>
      </c>
      <c r="M90" s="3" t="s">
        <v>520</v>
      </c>
      <c r="N90" s="3" t="s">
        <v>21</v>
      </c>
      <c r="O90" s="3" t="s">
        <v>22</v>
      </c>
      <c r="P90" s="3">
        <v>2265</v>
      </c>
      <c r="Q90" s="3">
        <v>0</v>
      </c>
      <c r="R90" s="3">
        <v>2</v>
      </c>
      <c r="S90" s="14" t="s">
        <v>895</v>
      </c>
      <c r="T90" s="14" t="str">
        <f t="shared" si="3"/>
        <v>(11)</v>
      </c>
      <c r="U90" s="14" t="s">
        <v>956</v>
      </c>
      <c r="V90" s="11">
        <f t="shared" si="4"/>
        <v>17.660044150110377</v>
      </c>
      <c r="W90" s="11">
        <f t="shared" si="5"/>
        <v>2.2075055187637971</v>
      </c>
    </row>
    <row r="91" spans="4:23" ht="81.75" hidden="1" thickBot="1" x14ac:dyDescent="0.3">
      <c r="D91" s="3">
        <v>1</v>
      </c>
      <c r="E91" s="3" t="s">
        <v>234</v>
      </c>
      <c r="F91" s="4" t="s">
        <v>522</v>
      </c>
      <c r="G91" s="4" t="s">
        <v>523</v>
      </c>
      <c r="H91" s="4" t="s">
        <v>524</v>
      </c>
      <c r="I91" s="3" t="s">
        <v>525</v>
      </c>
      <c r="J91" s="3">
        <v>3.69</v>
      </c>
      <c r="K91" s="3" t="s">
        <v>83</v>
      </c>
      <c r="L91" s="3" t="s">
        <v>526</v>
      </c>
      <c r="M91" s="3" t="s">
        <v>527</v>
      </c>
      <c r="N91" s="3" t="s">
        <v>21</v>
      </c>
      <c r="O91" s="3" t="s">
        <v>22</v>
      </c>
      <c r="P91" s="3">
        <v>1765.4</v>
      </c>
      <c r="Q91" s="3">
        <v>0</v>
      </c>
      <c r="R91" s="3">
        <v>2</v>
      </c>
      <c r="S91" s="14" t="s">
        <v>895</v>
      </c>
      <c r="T91" s="14" t="str">
        <f t="shared" si="3"/>
        <v>(CH2)2CH3+(CH3)2CH-CH2-CH3 (11)</v>
      </c>
      <c r="U91" s="14" t="s">
        <v>956</v>
      </c>
      <c r="V91" s="11">
        <f t="shared" si="4"/>
        <v>22.657754616517501</v>
      </c>
      <c r="W91" s="11">
        <f t="shared" si="5"/>
        <v>2.8322193270646876</v>
      </c>
    </row>
    <row r="92" spans="4:23" ht="54.75" hidden="1" thickBot="1" x14ac:dyDescent="0.3">
      <c r="D92" s="3">
        <v>1</v>
      </c>
      <c r="E92" s="3" t="s">
        <v>234</v>
      </c>
      <c r="F92" s="4" t="s">
        <v>528</v>
      </c>
      <c r="G92" s="4" t="s">
        <v>529</v>
      </c>
      <c r="H92" s="4" t="s">
        <v>530</v>
      </c>
      <c r="I92" s="3" t="s">
        <v>531</v>
      </c>
      <c r="J92" s="3" t="s">
        <v>532</v>
      </c>
      <c r="K92" s="3" t="s">
        <v>178</v>
      </c>
      <c r="L92" s="3" t="s">
        <v>533</v>
      </c>
      <c r="M92" s="3" t="s">
        <v>178</v>
      </c>
      <c r="N92" s="3" t="s">
        <v>21</v>
      </c>
      <c r="O92" s="3" t="s">
        <v>22</v>
      </c>
      <c r="P92" s="3">
        <v>1888</v>
      </c>
      <c r="Q92" s="3">
        <v>0</v>
      </c>
      <c r="R92" s="3">
        <v>2</v>
      </c>
      <c r="S92" s="14" t="s">
        <v>895</v>
      </c>
      <c r="T92" s="14" t="str">
        <f t="shared" si="3"/>
        <v>(11)</v>
      </c>
      <c r="U92" s="14" t="s">
        <v>956</v>
      </c>
      <c r="V92" s="11">
        <f t="shared" si="4"/>
        <v>21.1864406779661</v>
      </c>
      <c r="W92" s="11">
        <f t="shared" si="5"/>
        <v>2.6483050847457625</v>
      </c>
    </row>
    <row r="93" spans="4:23" ht="54.75" hidden="1" thickBot="1" x14ac:dyDescent="0.3">
      <c r="D93" s="3">
        <v>1</v>
      </c>
      <c r="E93" s="3" t="s">
        <v>234</v>
      </c>
      <c r="F93" s="4" t="s">
        <v>534</v>
      </c>
      <c r="G93" s="4" t="s">
        <v>535</v>
      </c>
      <c r="H93" s="4" t="s">
        <v>536</v>
      </c>
      <c r="I93" s="3" t="s">
        <v>537</v>
      </c>
      <c r="J93" s="3" t="s">
        <v>183</v>
      </c>
      <c r="K93" s="3" t="s">
        <v>538</v>
      </c>
      <c r="L93" s="3" t="s">
        <v>539</v>
      </c>
      <c r="M93" s="3" t="s">
        <v>538</v>
      </c>
      <c r="N93" s="3" t="s">
        <v>21</v>
      </c>
      <c r="O93" s="3" t="s">
        <v>22</v>
      </c>
      <c r="P93" s="3">
        <v>1387</v>
      </c>
      <c r="Q93" s="3">
        <v>0</v>
      </c>
      <c r="R93" s="3">
        <v>2</v>
      </c>
      <c r="S93" s="14" t="s">
        <v>895</v>
      </c>
      <c r="T93" s="14" t="str">
        <f t="shared" si="3"/>
        <v>(11)</v>
      </c>
      <c r="U93" s="14" t="s">
        <v>959</v>
      </c>
      <c r="V93" s="11">
        <f t="shared" si="4"/>
        <v>28.839221341023791</v>
      </c>
      <c r="W93" s="11">
        <f t="shared" si="5"/>
        <v>3.6049026676279738</v>
      </c>
    </row>
    <row r="94" spans="4:23" ht="41.25" hidden="1" thickBot="1" x14ac:dyDescent="0.3">
      <c r="D94" s="3">
        <v>1</v>
      </c>
      <c r="E94" s="3" t="s">
        <v>234</v>
      </c>
      <c r="F94" s="4" t="s">
        <v>540</v>
      </c>
      <c r="G94" s="4" t="s">
        <v>541</v>
      </c>
      <c r="H94" s="4" t="s">
        <v>542</v>
      </c>
      <c r="I94" s="3" t="s">
        <v>543</v>
      </c>
      <c r="J94" s="3" t="s">
        <v>544</v>
      </c>
      <c r="K94" s="3" t="s">
        <v>545</v>
      </c>
      <c r="L94" s="3" t="s">
        <v>546</v>
      </c>
      <c r="M94" s="3" t="s">
        <v>545</v>
      </c>
      <c r="N94" s="3" t="s">
        <v>21</v>
      </c>
      <c r="O94" s="3" t="s">
        <v>22</v>
      </c>
      <c r="P94" s="3">
        <v>1397</v>
      </c>
      <c r="Q94" s="3">
        <v>0</v>
      </c>
      <c r="R94" s="3">
        <v>2</v>
      </c>
      <c r="S94" s="14" t="s">
        <v>895</v>
      </c>
      <c r="T94" s="14" t="str">
        <f t="shared" si="3"/>
        <v>(11)</v>
      </c>
      <c r="U94" s="14" t="s">
        <v>959</v>
      </c>
      <c r="V94" s="11">
        <f t="shared" si="4"/>
        <v>28.632784538296349</v>
      </c>
      <c r="W94" s="11">
        <f t="shared" si="5"/>
        <v>3.5790980672870436</v>
      </c>
    </row>
    <row r="95" spans="4:23" ht="27.75" hidden="1" thickBot="1" x14ac:dyDescent="0.3">
      <c r="D95" s="3">
        <v>1</v>
      </c>
      <c r="E95" s="3" t="s">
        <v>234</v>
      </c>
      <c r="F95" s="4" t="s">
        <v>547</v>
      </c>
      <c r="G95" s="4" t="s">
        <v>548</v>
      </c>
      <c r="H95" s="4" t="s">
        <v>549</v>
      </c>
      <c r="I95" s="3" t="s">
        <v>550</v>
      </c>
      <c r="J95" s="3" t="s">
        <v>551</v>
      </c>
      <c r="K95" s="3" t="s">
        <v>222</v>
      </c>
      <c r="L95" s="3" t="s">
        <v>552</v>
      </c>
      <c r="M95" s="3" t="s">
        <v>553</v>
      </c>
      <c r="N95" s="3" t="s">
        <v>21</v>
      </c>
      <c r="O95" s="3" t="s">
        <v>22</v>
      </c>
      <c r="P95" s="3">
        <v>604.70000000000005</v>
      </c>
      <c r="Q95" s="3">
        <v>0</v>
      </c>
      <c r="R95" s="3">
        <v>2</v>
      </c>
      <c r="S95" s="14" t="s">
        <v>895</v>
      </c>
      <c r="T95" s="14" t="str">
        <f t="shared" si="3"/>
        <v>(11)</v>
      </c>
      <c r="U95" s="14" t="s">
        <v>959</v>
      </c>
      <c r="V95" s="11">
        <f t="shared" si="4"/>
        <v>66.14850339011079</v>
      </c>
      <c r="W95" s="11">
        <f t="shared" si="5"/>
        <v>8.2685629237638487</v>
      </c>
    </row>
    <row r="96" spans="4:23" ht="27.75" hidden="1" thickBot="1" x14ac:dyDescent="0.3">
      <c r="D96" s="3">
        <v>1</v>
      </c>
      <c r="E96" s="3" t="s">
        <v>234</v>
      </c>
      <c r="F96" s="4" t="s">
        <v>554</v>
      </c>
      <c r="G96" s="4" t="s">
        <v>555</v>
      </c>
      <c r="H96" s="4" t="s">
        <v>556</v>
      </c>
      <c r="I96" s="3" t="s">
        <v>557</v>
      </c>
      <c r="J96" s="3" t="s">
        <v>558</v>
      </c>
      <c r="K96" s="3" t="s">
        <v>559</v>
      </c>
      <c r="L96" s="3" t="s">
        <v>560</v>
      </c>
      <c r="M96" s="3" t="s">
        <v>559</v>
      </c>
      <c r="N96" s="3" t="s">
        <v>21</v>
      </c>
      <c r="O96" s="3" t="s">
        <v>22</v>
      </c>
      <c r="P96" s="3">
        <v>2140</v>
      </c>
      <c r="Q96" s="3">
        <v>0</v>
      </c>
      <c r="R96" s="3">
        <v>2</v>
      </c>
      <c r="S96" s="14" t="s">
        <v>895</v>
      </c>
      <c r="T96" s="14" t="str">
        <f t="shared" si="3"/>
        <v>(11)</v>
      </c>
      <c r="U96" s="14" t="s">
        <v>959</v>
      </c>
      <c r="V96" s="11">
        <f t="shared" si="4"/>
        <v>18.691588785046729</v>
      </c>
      <c r="W96" s="11">
        <f t="shared" si="5"/>
        <v>2.3364485981308412</v>
      </c>
    </row>
    <row r="97" spans="4:23" ht="54.75" hidden="1" thickBot="1" x14ac:dyDescent="0.3">
      <c r="D97" s="3">
        <v>1</v>
      </c>
      <c r="E97" s="3" t="s">
        <v>234</v>
      </c>
      <c r="F97" s="4" t="s">
        <v>863</v>
      </c>
      <c r="G97" s="4" t="s">
        <v>561</v>
      </c>
      <c r="H97" s="4" t="s">
        <v>562</v>
      </c>
      <c r="I97" s="3" t="s">
        <v>563</v>
      </c>
      <c r="J97" s="3"/>
      <c r="K97" s="3" t="s">
        <v>71</v>
      </c>
      <c r="L97" s="3" t="s">
        <v>487</v>
      </c>
      <c r="M97" s="3"/>
      <c r="N97" s="3" t="s">
        <v>488</v>
      </c>
      <c r="O97" s="3" t="s">
        <v>488</v>
      </c>
      <c r="P97" s="3">
        <v>1444.47</v>
      </c>
      <c r="Q97" s="3">
        <v>0</v>
      </c>
      <c r="R97" s="3">
        <v>2</v>
      </c>
      <c r="S97" s="14" t="s">
        <v>895</v>
      </c>
      <c r="T97" s="14" t="str">
        <f t="shared" si="3"/>
        <v>(11)</v>
      </c>
      <c r="U97" s="14" t="s">
        <v>956</v>
      </c>
      <c r="V97" s="11">
        <f t="shared" si="4"/>
        <v>27.69181776014732</v>
      </c>
      <c r="W97" s="11">
        <f t="shared" si="5"/>
        <v>3.461477220018415</v>
      </c>
    </row>
    <row r="98" spans="4:23" ht="41.25" hidden="1" thickBot="1" x14ac:dyDescent="0.3">
      <c r="D98" s="3">
        <v>1</v>
      </c>
      <c r="E98" s="3" t="s">
        <v>234</v>
      </c>
      <c r="F98" s="4" t="s">
        <v>564</v>
      </c>
      <c r="G98" s="4" t="s">
        <v>565</v>
      </c>
      <c r="H98" s="4" t="s">
        <v>566</v>
      </c>
      <c r="I98" s="3" t="s">
        <v>567</v>
      </c>
      <c r="J98" s="3">
        <v>3.6179999999999999</v>
      </c>
      <c r="K98" s="3" t="s">
        <v>568</v>
      </c>
      <c r="L98" s="3" t="s">
        <v>569</v>
      </c>
      <c r="M98" s="3" t="s">
        <v>267</v>
      </c>
      <c r="N98" s="3" t="s">
        <v>21</v>
      </c>
      <c r="O98" s="3" t="s">
        <v>22</v>
      </c>
      <c r="P98" s="3">
        <v>1291.1199999999999</v>
      </c>
      <c r="Q98" s="3">
        <v>0</v>
      </c>
      <c r="R98" s="3">
        <v>2</v>
      </c>
      <c r="S98" s="14" t="s">
        <v>895</v>
      </c>
      <c r="T98" s="14" t="str">
        <f t="shared" si="3"/>
        <v>(11)</v>
      </c>
      <c r="U98" s="14" t="s">
        <v>959</v>
      </c>
      <c r="V98" s="11">
        <f t="shared" si="4"/>
        <v>30.980853832331622</v>
      </c>
      <c r="W98" s="11">
        <f t="shared" si="5"/>
        <v>3.8726067290414528</v>
      </c>
    </row>
    <row r="99" spans="4:23" ht="68.25" hidden="1" thickBot="1" x14ac:dyDescent="0.3">
      <c r="D99" s="3">
        <v>1</v>
      </c>
      <c r="E99" s="3" t="s">
        <v>234</v>
      </c>
      <c r="F99" s="4" t="s">
        <v>864</v>
      </c>
      <c r="G99" s="4" t="s">
        <v>570</v>
      </c>
      <c r="H99" s="4" t="s">
        <v>571</v>
      </c>
      <c r="I99" s="3">
        <v>88.93</v>
      </c>
      <c r="J99" s="3">
        <v>3.64</v>
      </c>
      <c r="K99" s="3">
        <v>0.25</v>
      </c>
      <c r="L99" s="3" t="s">
        <v>572</v>
      </c>
      <c r="M99" s="3">
        <v>0.25</v>
      </c>
      <c r="N99" s="3" t="s">
        <v>22</v>
      </c>
      <c r="O99" s="3" t="s">
        <v>22</v>
      </c>
      <c r="P99" s="3">
        <v>746</v>
      </c>
      <c r="Q99" s="3">
        <v>0</v>
      </c>
      <c r="R99" s="3">
        <v>2</v>
      </c>
      <c r="S99" s="14" t="s">
        <v>895</v>
      </c>
      <c r="T99" s="14" t="str">
        <f t="shared" si="3"/>
        <v>(11)</v>
      </c>
      <c r="U99" s="14" t="s">
        <v>959</v>
      </c>
      <c r="V99" s="11">
        <f t="shared" si="4"/>
        <v>53.619302949061662</v>
      </c>
      <c r="W99" s="11">
        <f t="shared" si="5"/>
        <v>6.7024128686327078</v>
      </c>
    </row>
    <row r="100" spans="4:23" ht="68.25" hidden="1" thickBot="1" x14ac:dyDescent="0.3">
      <c r="D100" s="3">
        <v>1</v>
      </c>
      <c r="E100" s="3" t="s">
        <v>234</v>
      </c>
      <c r="F100" s="4" t="s">
        <v>865</v>
      </c>
      <c r="G100" s="4" t="s">
        <v>573</v>
      </c>
      <c r="H100" s="4" t="s">
        <v>571</v>
      </c>
      <c r="I100" s="3">
        <v>84.43</v>
      </c>
      <c r="J100" s="3">
        <v>3.45</v>
      </c>
      <c r="K100" s="3">
        <v>0.26</v>
      </c>
      <c r="L100" s="3" t="s">
        <v>574</v>
      </c>
      <c r="M100" s="3">
        <v>0.26</v>
      </c>
      <c r="N100" s="3" t="s">
        <v>22</v>
      </c>
      <c r="O100" s="3" t="s">
        <v>22</v>
      </c>
      <c r="P100" s="3">
        <v>980</v>
      </c>
      <c r="Q100" s="3">
        <v>0</v>
      </c>
      <c r="R100" s="3">
        <v>2</v>
      </c>
      <c r="S100" s="14" t="s">
        <v>895</v>
      </c>
      <c r="T100" s="14" t="str">
        <f t="shared" si="3"/>
        <v>(11)</v>
      </c>
      <c r="U100" s="14" t="s">
        <v>959</v>
      </c>
      <c r="V100" s="11">
        <f t="shared" si="4"/>
        <v>40.816326530612244</v>
      </c>
      <c r="W100" s="11">
        <f t="shared" si="5"/>
        <v>5.1020408163265305</v>
      </c>
    </row>
    <row r="101" spans="4:23" ht="57.6" hidden="1" customHeight="1" thickBot="1" x14ac:dyDescent="0.3">
      <c r="D101" s="8">
        <v>1</v>
      </c>
      <c r="E101" s="8" t="s">
        <v>234</v>
      </c>
      <c r="F101" s="9" t="s">
        <v>868</v>
      </c>
      <c r="G101" s="9" t="s">
        <v>575</v>
      </c>
      <c r="H101" s="9" t="s">
        <v>876</v>
      </c>
      <c r="I101" s="8">
        <v>103.52</v>
      </c>
      <c r="J101" s="8">
        <v>4.29</v>
      </c>
      <c r="K101" s="8">
        <v>0.22</v>
      </c>
      <c r="L101" s="8" t="s">
        <v>851</v>
      </c>
      <c r="M101" s="8">
        <v>0.22</v>
      </c>
      <c r="N101" s="8" t="s">
        <v>22</v>
      </c>
      <c r="O101" s="8" t="s">
        <v>22</v>
      </c>
      <c r="P101" s="8">
        <v>2481</v>
      </c>
      <c r="Q101" s="8">
        <v>0</v>
      </c>
      <c r="R101" s="8">
        <v>2</v>
      </c>
      <c r="S101" s="14" t="s">
        <v>895</v>
      </c>
      <c r="T101" s="14" t="str">
        <f t="shared" si="3"/>
        <v>(CH3)3 (11)</v>
      </c>
      <c r="U101" s="14" t="s">
        <v>956</v>
      </c>
      <c r="V101" s="11">
        <f t="shared" si="4"/>
        <v>16.122531237404271</v>
      </c>
      <c r="W101" s="11">
        <f t="shared" si="5"/>
        <v>2.0153164046755339</v>
      </c>
    </row>
    <row r="102" spans="4:23" ht="41.25" hidden="1" thickBot="1" x14ac:dyDescent="0.3">
      <c r="D102" s="8">
        <v>1</v>
      </c>
      <c r="E102" s="8" t="s">
        <v>234</v>
      </c>
      <c r="F102" s="9" t="s">
        <v>576</v>
      </c>
      <c r="G102" s="9" t="s">
        <v>850</v>
      </c>
      <c r="H102" s="9" t="s">
        <v>877</v>
      </c>
      <c r="I102" s="8">
        <v>122.1</v>
      </c>
      <c r="J102" s="8">
        <v>5.12</v>
      </c>
      <c r="K102" s="8">
        <v>0.155</v>
      </c>
      <c r="L102" s="8">
        <v>-16.899999999999999</v>
      </c>
      <c r="M102" s="8">
        <v>0.155</v>
      </c>
      <c r="N102" s="8" t="s">
        <v>22</v>
      </c>
      <c r="O102" s="8" t="s">
        <v>22</v>
      </c>
      <c r="P102" s="8">
        <v>148</v>
      </c>
      <c r="Q102" s="8">
        <v>0</v>
      </c>
      <c r="R102" s="8">
        <v>2</v>
      </c>
      <c r="S102" s="14" t="s">
        <v>895</v>
      </c>
      <c r="T102" s="14" t="str">
        <f t="shared" si="3"/>
        <v>(11)</v>
      </c>
      <c r="U102" s="14" t="s">
        <v>959</v>
      </c>
      <c r="V102" s="11">
        <f t="shared" si="4"/>
        <v>270.27027027027026</v>
      </c>
      <c r="W102" s="11">
        <f t="shared" si="5"/>
        <v>33.783783783783782</v>
      </c>
    </row>
    <row r="103" spans="4:23" ht="27.75" hidden="1" thickBot="1" x14ac:dyDescent="0.3">
      <c r="D103" s="8">
        <v>1</v>
      </c>
      <c r="E103" s="8" t="s">
        <v>234</v>
      </c>
      <c r="F103" s="9" t="s">
        <v>577</v>
      </c>
      <c r="G103" s="9" t="s">
        <v>848</v>
      </c>
      <c r="H103" s="9" t="s">
        <v>878</v>
      </c>
      <c r="I103" s="8">
        <v>52.58</v>
      </c>
      <c r="J103" s="8">
        <v>2.16</v>
      </c>
      <c r="K103" s="8">
        <v>6.2E-2</v>
      </c>
      <c r="L103" s="8" t="s">
        <v>849</v>
      </c>
      <c r="M103" s="8">
        <v>7.6999999999999999E-2</v>
      </c>
      <c r="N103" s="8" t="s">
        <v>76</v>
      </c>
      <c r="O103" s="8" t="s">
        <v>21</v>
      </c>
      <c r="P103" s="8">
        <v>1830.6</v>
      </c>
      <c r="Q103" s="8">
        <v>0</v>
      </c>
      <c r="R103" s="8">
        <v>1</v>
      </c>
      <c r="S103" s="14" t="s">
        <v>895</v>
      </c>
      <c r="T103" s="14" t="str">
        <f t="shared" si="3"/>
        <v>(11)</v>
      </c>
      <c r="U103" s="14" t="s">
        <v>959</v>
      </c>
      <c r="V103" s="11">
        <f t="shared" si="4"/>
        <v>21.850759313886158</v>
      </c>
      <c r="W103" s="11">
        <f t="shared" si="5"/>
        <v>2.7313449142357697</v>
      </c>
    </row>
    <row r="104" spans="4:23" ht="52.15" hidden="1" customHeight="1" thickBot="1" x14ac:dyDescent="0.3">
      <c r="D104" s="8">
        <v>1</v>
      </c>
      <c r="E104" s="8" t="s">
        <v>234</v>
      </c>
      <c r="F104" s="9" t="s">
        <v>578</v>
      </c>
      <c r="G104" s="10" t="s">
        <v>579</v>
      </c>
      <c r="H104" s="10" t="s">
        <v>879</v>
      </c>
      <c r="I104" s="8" t="s">
        <v>580</v>
      </c>
      <c r="J104" s="8">
        <v>3.64</v>
      </c>
      <c r="K104" s="8">
        <v>0.16</v>
      </c>
      <c r="L104" s="8" t="s">
        <v>847</v>
      </c>
      <c r="M104" s="8">
        <v>0.16</v>
      </c>
      <c r="N104" s="8" t="s">
        <v>22</v>
      </c>
      <c r="O104" s="8" t="s">
        <v>22</v>
      </c>
      <c r="P104" s="8">
        <v>1399</v>
      </c>
      <c r="Q104" s="8">
        <v>0</v>
      </c>
      <c r="R104" s="8">
        <v>2</v>
      </c>
      <c r="S104" s="14" t="s">
        <v>895</v>
      </c>
      <c r="T104" s="14" t="str">
        <f t="shared" si="3"/>
        <v>(11)</v>
      </c>
      <c r="U104" s="14" t="s">
        <v>959</v>
      </c>
      <c r="V104" s="11">
        <f t="shared" si="4"/>
        <v>28.591851322373124</v>
      </c>
      <c r="W104" s="11">
        <f t="shared" si="5"/>
        <v>3.5739814152966405</v>
      </c>
    </row>
    <row r="105" spans="4:23" ht="27.75" hidden="1" thickBot="1" x14ac:dyDescent="0.3">
      <c r="D105" s="8">
        <v>1</v>
      </c>
      <c r="E105" s="8" t="s">
        <v>234</v>
      </c>
      <c r="F105" s="9" t="s">
        <v>581</v>
      </c>
      <c r="G105" s="9" t="s">
        <v>846</v>
      </c>
      <c r="H105" s="9" t="s">
        <v>880</v>
      </c>
      <c r="I105" s="8">
        <v>117.48</v>
      </c>
      <c r="J105" s="8">
        <v>4.9180000000000001</v>
      </c>
      <c r="K105" s="8">
        <v>0.28999999999999998</v>
      </c>
      <c r="L105" s="8" t="s">
        <v>582</v>
      </c>
      <c r="M105" s="8">
        <v>0.28999999999999998</v>
      </c>
      <c r="N105" s="8" t="s">
        <v>22</v>
      </c>
      <c r="O105" s="8" t="s">
        <v>22</v>
      </c>
      <c r="P105" s="8">
        <v>293</v>
      </c>
      <c r="Q105" s="8">
        <v>0</v>
      </c>
      <c r="R105" s="8">
        <v>2</v>
      </c>
      <c r="S105" s="14" t="s">
        <v>895</v>
      </c>
      <c r="T105" s="14" t="str">
        <f t="shared" si="3"/>
        <v>(11)</v>
      </c>
      <c r="U105" s="14" t="s">
        <v>959</v>
      </c>
      <c r="V105" s="11">
        <f t="shared" si="4"/>
        <v>136.51877133105802</v>
      </c>
      <c r="W105" s="11">
        <f t="shared" si="5"/>
        <v>17.064846416382252</v>
      </c>
    </row>
    <row r="106" spans="4:23" ht="15.75" hidden="1" thickBot="1" x14ac:dyDescent="0.3">
      <c r="D106" s="3">
        <v>2</v>
      </c>
      <c r="E106" s="3" t="s">
        <v>583</v>
      </c>
      <c r="F106" s="4" t="s">
        <v>584</v>
      </c>
      <c r="G106" s="4" t="s">
        <v>585</v>
      </c>
      <c r="H106" s="4" t="s">
        <v>586</v>
      </c>
      <c r="I106" s="3">
        <v>52</v>
      </c>
      <c r="J106" s="3">
        <v>2.13</v>
      </c>
      <c r="K106" s="3">
        <v>6.0999999999999999E-2</v>
      </c>
      <c r="L106" s="3" t="s">
        <v>587</v>
      </c>
      <c r="M106" s="3" t="s">
        <v>467</v>
      </c>
      <c r="N106" s="3">
        <v>648</v>
      </c>
      <c r="O106" s="3">
        <v>0.307</v>
      </c>
      <c r="P106" s="3">
        <v>675</v>
      </c>
      <c r="Q106" s="3">
        <v>0</v>
      </c>
      <c r="R106" s="3">
        <v>1</v>
      </c>
      <c r="S106" s="14" t="s">
        <v>895</v>
      </c>
      <c r="T106" s="14" t="str">
        <f t="shared" si="3"/>
        <v>(11)</v>
      </c>
      <c r="U106" s="14" t="s">
        <v>956</v>
      </c>
      <c r="V106" s="11">
        <f t="shared" si="4"/>
        <v>59.25925925925926</v>
      </c>
      <c r="W106" s="11">
        <f t="shared" si="5"/>
        <v>7.4074074074074074</v>
      </c>
    </row>
    <row r="107" spans="4:23" ht="15.75" hidden="1" thickBot="1" x14ac:dyDescent="0.3">
      <c r="D107" s="3">
        <v>2</v>
      </c>
      <c r="E107" s="3" t="s">
        <v>583</v>
      </c>
      <c r="F107" s="4" t="s">
        <v>588</v>
      </c>
      <c r="G107" s="4" t="s">
        <v>589</v>
      </c>
      <c r="H107" s="4" t="s">
        <v>590</v>
      </c>
      <c r="I107" s="3">
        <v>84</v>
      </c>
      <c r="J107" s="3">
        <v>3.44</v>
      </c>
      <c r="K107" s="3">
        <v>4.8000000000000001E-2</v>
      </c>
      <c r="L107" s="3" t="s">
        <v>591</v>
      </c>
      <c r="M107" s="3">
        <v>0.48</v>
      </c>
      <c r="N107" s="3">
        <v>750</v>
      </c>
      <c r="O107" s="3">
        <v>0.28199999999999997</v>
      </c>
      <c r="P107" s="3">
        <v>4470</v>
      </c>
      <c r="Q107" s="3">
        <v>0</v>
      </c>
      <c r="R107" s="3">
        <v>1</v>
      </c>
      <c r="S107" s="14" t="s">
        <v>895</v>
      </c>
      <c r="T107" s="14" t="str">
        <f t="shared" si="3"/>
        <v>(11)</v>
      </c>
      <c r="U107" s="14" t="s">
        <v>956</v>
      </c>
      <c r="V107" s="11">
        <f t="shared" si="4"/>
        <v>8.9485458612975393</v>
      </c>
      <c r="W107" s="11">
        <f t="shared" si="5"/>
        <v>1.1185682326621924</v>
      </c>
    </row>
    <row r="108" spans="4:23" ht="15.75" hidden="1" thickBot="1" x14ac:dyDescent="0.3">
      <c r="D108" s="3">
        <v>2</v>
      </c>
      <c r="E108" s="3" t="s">
        <v>583</v>
      </c>
      <c r="F108" s="4" t="s">
        <v>592</v>
      </c>
      <c r="G108" s="4" t="s">
        <v>593</v>
      </c>
      <c r="H108" s="4" t="s">
        <v>881</v>
      </c>
      <c r="I108" s="3" t="s">
        <v>594</v>
      </c>
      <c r="J108" s="3" t="s">
        <v>595</v>
      </c>
      <c r="K108" s="3" t="s">
        <v>596</v>
      </c>
      <c r="L108" s="3" t="s">
        <v>118</v>
      </c>
      <c r="M108" s="3" t="s">
        <v>597</v>
      </c>
      <c r="N108" s="3">
        <v>405</v>
      </c>
      <c r="O108" s="3" t="s">
        <v>598</v>
      </c>
      <c r="P108" s="3">
        <v>4</v>
      </c>
      <c r="Q108" s="3">
        <v>0</v>
      </c>
      <c r="R108" s="3">
        <v>1</v>
      </c>
      <c r="S108" s="14" t="s">
        <v>895</v>
      </c>
      <c r="T108" s="14" t="str">
        <f t="shared" si="3"/>
        <v>(11)</v>
      </c>
      <c r="U108" s="14" t="s">
        <v>957</v>
      </c>
      <c r="V108" s="11">
        <f t="shared" si="4"/>
        <v>10000</v>
      </c>
      <c r="W108" s="11">
        <f t="shared" si="5"/>
        <v>1250</v>
      </c>
    </row>
    <row r="109" spans="4:23" ht="27.75" hidden="1" thickBot="1" x14ac:dyDescent="0.3">
      <c r="D109" s="3">
        <v>2</v>
      </c>
      <c r="E109" s="3" t="s">
        <v>583</v>
      </c>
      <c r="F109" s="4" t="s">
        <v>859</v>
      </c>
      <c r="G109" s="4" t="s">
        <v>599</v>
      </c>
      <c r="H109" s="4" t="s">
        <v>882</v>
      </c>
      <c r="I109" s="3" t="s">
        <v>594</v>
      </c>
      <c r="J109" s="3" t="s">
        <v>595</v>
      </c>
      <c r="K109" s="3" t="s">
        <v>600</v>
      </c>
      <c r="L109" s="3" t="s">
        <v>601</v>
      </c>
      <c r="M109" s="3" t="s">
        <v>427</v>
      </c>
      <c r="N109" s="3">
        <v>368</v>
      </c>
      <c r="O109" s="3" t="s">
        <v>602</v>
      </c>
      <c r="P109" s="3">
        <v>7</v>
      </c>
      <c r="Q109" s="3">
        <v>0</v>
      </c>
      <c r="R109" s="3">
        <v>2</v>
      </c>
      <c r="S109" s="14" t="s">
        <v>895</v>
      </c>
      <c r="T109" s="14" t="str">
        <f t="shared" si="3"/>
        <v>(11)</v>
      </c>
      <c r="U109" s="14" t="s">
        <v>957</v>
      </c>
      <c r="V109" s="11">
        <f t="shared" si="4"/>
        <v>5714.2857142857147</v>
      </c>
      <c r="W109" s="11">
        <f t="shared" si="5"/>
        <v>714.28571428571433</v>
      </c>
    </row>
    <row r="110" spans="4:23" ht="41.25" hidden="1" thickBot="1" x14ac:dyDescent="0.3">
      <c r="D110" s="3">
        <v>2</v>
      </c>
      <c r="E110" s="3" t="s">
        <v>583</v>
      </c>
      <c r="F110" s="4" t="s">
        <v>603</v>
      </c>
      <c r="G110" s="4" t="s">
        <v>604</v>
      </c>
      <c r="H110" s="4" t="s">
        <v>883</v>
      </c>
      <c r="I110" s="3" t="s">
        <v>605</v>
      </c>
      <c r="J110" s="3" t="s">
        <v>606</v>
      </c>
      <c r="K110" s="3" t="s">
        <v>607</v>
      </c>
      <c r="L110" s="3" t="s">
        <v>608</v>
      </c>
      <c r="M110" s="3" t="s">
        <v>598</v>
      </c>
      <c r="N110" s="3" t="s">
        <v>21</v>
      </c>
      <c r="O110" s="3" t="s">
        <v>609</v>
      </c>
      <c r="P110" s="3">
        <v>93</v>
      </c>
      <c r="Q110" s="3">
        <v>0</v>
      </c>
      <c r="R110" s="3">
        <v>1</v>
      </c>
      <c r="S110" s="14" t="s">
        <v>895</v>
      </c>
      <c r="T110" s="14" t="str">
        <f t="shared" si="3"/>
        <v>(11)</v>
      </c>
      <c r="U110" s="14" t="s">
        <v>959</v>
      </c>
      <c r="V110" s="11">
        <f t="shared" si="4"/>
        <v>430.10752688172045</v>
      </c>
      <c r="W110" s="11">
        <f t="shared" si="5"/>
        <v>53.763440860215056</v>
      </c>
    </row>
    <row r="111" spans="4:23" ht="41.25" hidden="1" thickBot="1" x14ac:dyDescent="0.3">
      <c r="D111" s="3">
        <v>2</v>
      </c>
      <c r="E111" s="3" t="s">
        <v>583</v>
      </c>
      <c r="F111" s="4" t="s">
        <v>610</v>
      </c>
      <c r="G111" s="4" t="s">
        <v>611</v>
      </c>
      <c r="H111" s="4" t="s">
        <v>612</v>
      </c>
      <c r="I111" s="3">
        <v>72.8</v>
      </c>
      <c r="J111" s="3">
        <v>3.02</v>
      </c>
      <c r="K111" s="3">
        <v>5.5E-2</v>
      </c>
      <c r="L111" s="3" t="s">
        <v>613</v>
      </c>
      <c r="M111" s="3">
        <v>0.33</v>
      </c>
      <c r="N111" s="3" t="s">
        <v>21</v>
      </c>
      <c r="O111" s="3">
        <v>0.27600000000000002</v>
      </c>
      <c r="P111" s="3">
        <v>295.89999999999998</v>
      </c>
      <c r="Q111" s="3">
        <v>0</v>
      </c>
      <c r="R111" s="3">
        <v>1</v>
      </c>
      <c r="S111" s="14" t="s">
        <v>895</v>
      </c>
      <c r="T111" s="14" t="str">
        <f t="shared" si="3"/>
        <v>(11)</v>
      </c>
      <c r="U111" s="14" t="s">
        <v>959</v>
      </c>
      <c r="V111" s="11">
        <f t="shared" si="4"/>
        <v>135.18080432578574</v>
      </c>
      <c r="W111" s="11">
        <f t="shared" si="5"/>
        <v>16.897600540723218</v>
      </c>
    </row>
    <row r="112" spans="4:23" ht="27.75" hidden="1" thickBot="1" x14ac:dyDescent="0.3">
      <c r="D112" s="3">
        <v>2</v>
      </c>
      <c r="E112" s="3" t="s">
        <v>583</v>
      </c>
      <c r="F112" s="4" t="s">
        <v>614</v>
      </c>
      <c r="G112" s="4" t="s">
        <v>615</v>
      </c>
      <c r="H112" s="4" t="s">
        <v>884</v>
      </c>
      <c r="I112" s="3">
        <v>103.1</v>
      </c>
      <c r="J112" s="3">
        <v>4.29</v>
      </c>
      <c r="K112" s="3">
        <v>5.2999999999999999E-2</v>
      </c>
      <c r="L112" s="3" t="s">
        <v>616</v>
      </c>
      <c r="M112" s="3">
        <v>0.22800000000000001</v>
      </c>
      <c r="N112" s="3" t="s">
        <v>21</v>
      </c>
      <c r="O112" s="3">
        <v>0.26600000000000001</v>
      </c>
      <c r="P112" s="3">
        <v>134.69999999999999</v>
      </c>
      <c r="Q112" s="3">
        <v>0</v>
      </c>
      <c r="R112" s="3">
        <v>1</v>
      </c>
      <c r="S112" s="14" t="s">
        <v>895</v>
      </c>
      <c r="T112" s="14" t="str">
        <f t="shared" si="3"/>
        <v>(11)</v>
      </c>
      <c r="U112" s="14" t="s">
        <v>959</v>
      </c>
      <c r="V112" s="11">
        <f t="shared" si="4"/>
        <v>296.95619896065335</v>
      </c>
      <c r="W112" s="11">
        <f t="shared" si="5"/>
        <v>37.119524870081669</v>
      </c>
    </row>
    <row r="113" spans="4:23" ht="27.75" hidden="1" thickBot="1" x14ac:dyDescent="0.3">
      <c r="D113" s="3">
        <v>2</v>
      </c>
      <c r="E113" s="3" t="s">
        <v>583</v>
      </c>
      <c r="F113" s="4" t="s">
        <v>617</v>
      </c>
      <c r="G113" s="4" t="s">
        <v>618</v>
      </c>
      <c r="H113" s="4" t="s">
        <v>619</v>
      </c>
      <c r="I113" s="3">
        <v>62</v>
      </c>
      <c r="J113" s="3">
        <v>2.6</v>
      </c>
      <c r="K113" s="3">
        <v>3.1E-2</v>
      </c>
      <c r="L113" s="3" t="s">
        <v>620</v>
      </c>
      <c r="M113" s="3">
        <v>6.8000000000000005E-2</v>
      </c>
      <c r="N113" s="3" t="s">
        <v>21</v>
      </c>
      <c r="O113" s="3">
        <v>0.157</v>
      </c>
      <c r="P113" s="3">
        <v>461.2</v>
      </c>
      <c r="Q113" s="3">
        <v>0</v>
      </c>
      <c r="R113" s="3">
        <v>1</v>
      </c>
      <c r="S113" s="14" t="s">
        <v>895</v>
      </c>
      <c r="T113" s="14" t="str">
        <f t="shared" si="3"/>
        <v>(11)</v>
      </c>
      <c r="U113" s="14" t="s">
        <v>959</v>
      </c>
      <c r="V113" s="11">
        <f t="shared" si="4"/>
        <v>86.730268863833487</v>
      </c>
      <c r="W113" s="11">
        <f t="shared" si="5"/>
        <v>10.841283607979186</v>
      </c>
    </row>
    <row r="114" spans="4:23" ht="41.25" hidden="1" thickBot="1" x14ac:dyDescent="0.3">
      <c r="D114" s="3">
        <v>2</v>
      </c>
      <c r="E114" s="3" t="s">
        <v>583</v>
      </c>
      <c r="F114" s="4" t="s">
        <v>621</v>
      </c>
      <c r="G114" s="4" t="s">
        <v>622</v>
      </c>
      <c r="H114" s="4" t="s">
        <v>623</v>
      </c>
      <c r="I114" s="3">
        <v>63.04</v>
      </c>
      <c r="J114" s="3">
        <v>2.61</v>
      </c>
      <c r="K114" s="3">
        <v>3.4000000000000002E-2</v>
      </c>
      <c r="L114" s="3" t="s">
        <v>624</v>
      </c>
      <c r="M114" s="3">
        <v>0.36</v>
      </c>
      <c r="N114" s="3" t="s">
        <v>21</v>
      </c>
      <c r="O114" s="3">
        <v>0.16800000000000001</v>
      </c>
      <c r="P114" s="3">
        <v>583.5</v>
      </c>
      <c r="Q114" s="3">
        <v>0</v>
      </c>
      <c r="R114" s="3">
        <v>1</v>
      </c>
      <c r="S114" s="14" t="s">
        <v>895</v>
      </c>
      <c r="T114" s="14" t="str">
        <f t="shared" si="3"/>
        <v>(11)</v>
      </c>
      <c r="U114" s="14" t="s">
        <v>959</v>
      </c>
      <c r="V114" s="11">
        <f t="shared" si="4"/>
        <v>68.551842330762639</v>
      </c>
      <c r="W114" s="11">
        <f t="shared" si="5"/>
        <v>8.5689802913453299</v>
      </c>
    </row>
    <row r="115" spans="4:23" ht="27.75" hidden="1" thickBot="1" x14ac:dyDescent="0.3">
      <c r="D115" s="3">
        <v>2</v>
      </c>
      <c r="E115" s="3" t="s">
        <v>583</v>
      </c>
      <c r="F115" s="4" t="s">
        <v>625</v>
      </c>
      <c r="G115" s="4" t="s">
        <v>626</v>
      </c>
      <c r="H115" s="4" t="s">
        <v>630</v>
      </c>
      <c r="I115" s="3">
        <v>112.69</v>
      </c>
      <c r="J115" s="3">
        <v>4.3029999999999999</v>
      </c>
      <c r="K115" s="3">
        <v>6.5000000000000002E-2</v>
      </c>
      <c r="L115" s="3" t="s">
        <v>627</v>
      </c>
      <c r="M115" s="3">
        <v>0.46200000000000002</v>
      </c>
      <c r="N115" s="3" t="s">
        <v>21</v>
      </c>
      <c r="O115" s="3">
        <v>0.32300000000000001</v>
      </c>
      <c r="P115" s="3">
        <v>149.5</v>
      </c>
      <c r="Q115" s="3">
        <v>0</v>
      </c>
      <c r="R115" s="3">
        <v>1</v>
      </c>
      <c r="S115" s="14" t="s">
        <v>895</v>
      </c>
      <c r="T115" s="14" t="str">
        <f t="shared" si="3"/>
        <v>(11)</v>
      </c>
      <c r="U115" s="14" t="s">
        <v>959</v>
      </c>
      <c r="V115" s="11">
        <f t="shared" si="4"/>
        <v>267.55852842809367</v>
      </c>
      <c r="W115" s="11">
        <f t="shared" si="5"/>
        <v>33.444816053511708</v>
      </c>
    </row>
    <row r="116" spans="4:23" ht="27.75" hidden="1" thickBot="1" x14ac:dyDescent="0.3">
      <c r="D116" s="3">
        <v>2</v>
      </c>
      <c r="E116" s="3" t="s">
        <v>583</v>
      </c>
      <c r="F116" s="4" t="s">
        <v>628</v>
      </c>
      <c r="G116" s="4" t="s">
        <v>629</v>
      </c>
      <c r="H116" s="4" t="s">
        <v>630</v>
      </c>
      <c r="I116" s="3">
        <v>112.56</v>
      </c>
      <c r="J116" s="3">
        <v>4.7</v>
      </c>
      <c r="K116" s="3">
        <v>6.5000000000000002E-2</v>
      </c>
      <c r="L116" s="3" t="s">
        <v>631</v>
      </c>
      <c r="M116" s="3">
        <v>0.46100000000000002</v>
      </c>
      <c r="N116" s="3" t="s">
        <v>21</v>
      </c>
      <c r="O116" s="3">
        <v>0.32300000000000001</v>
      </c>
      <c r="P116" s="3">
        <v>163.69999999999999</v>
      </c>
      <c r="Q116" s="3">
        <v>0</v>
      </c>
      <c r="R116" s="3">
        <v>1</v>
      </c>
      <c r="S116" s="14" t="s">
        <v>895</v>
      </c>
      <c r="T116" s="14" t="str">
        <f t="shared" si="3"/>
        <v>(11)</v>
      </c>
      <c r="U116" s="14" t="s">
        <v>959</v>
      </c>
      <c r="V116" s="11">
        <f t="shared" si="4"/>
        <v>244.3494196701283</v>
      </c>
      <c r="W116" s="11">
        <f t="shared" si="5"/>
        <v>30.543677458766037</v>
      </c>
    </row>
    <row r="117" spans="4:23" ht="27.75" hidden="1" thickBot="1" x14ac:dyDescent="0.3">
      <c r="D117" s="3">
        <v>2</v>
      </c>
      <c r="E117" s="3" t="s">
        <v>583</v>
      </c>
      <c r="F117" s="4" t="s">
        <v>632</v>
      </c>
      <c r="G117" s="4" t="s">
        <v>633</v>
      </c>
      <c r="H117" s="4" t="s">
        <v>556</v>
      </c>
      <c r="I117" s="3" t="s">
        <v>634</v>
      </c>
      <c r="J117" s="3">
        <v>2.63</v>
      </c>
      <c r="K117" s="3" t="s">
        <v>635</v>
      </c>
      <c r="L117" s="3" t="s">
        <v>636</v>
      </c>
      <c r="M117" s="3">
        <v>0.46700000000000003</v>
      </c>
      <c r="N117" s="3" t="s">
        <v>488</v>
      </c>
      <c r="O117" s="3" t="s">
        <v>637</v>
      </c>
      <c r="P117" s="3">
        <v>698.25</v>
      </c>
      <c r="Q117" s="3">
        <v>0</v>
      </c>
      <c r="R117" s="3">
        <v>1</v>
      </c>
      <c r="S117" s="14" t="s">
        <v>895</v>
      </c>
      <c r="T117" s="14" t="str">
        <f t="shared" si="3"/>
        <v>(11)</v>
      </c>
      <c r="U117" s="14" t="s">
        <v>959</v>
      </c>
      <c r="V117" s="11">
        <f t="shared" si="4"/>
        <v>57.286072323666311</v>
      </c>
      <c r="W117" s="11">
        <f t="shared" si="5"/>
        <v>7.1607590404582888</v>
      </c>
    </row>
    <row r="118" spans="4:23" ht="27.75" hidden="1" thickBot="1" x14ac:dyDescent="0.3">
      <c r="D118" s="3">
        <v>2</v>
      </c>
      <c r="E118" s="3" t="s">
        <v>583</v>
      </c>
      <c r="F118" s="4" t="s">
        <v>638</v>
      </c>
      <c r="G118" s="4" t="s">
        <v>639</v>
      </c>
      <c r="H118" s="4" t="s">
        <v>640</v>
      </c>
      <c r="I118" s="3" t="s">
        <v>641</v>
      </c>
      <c r="J118" s="3">
        <v>2.8</v>
      </c>
      <c r="K118" s="3" t="s">
        <v>104</v>
      </c>
      <c r="L118" s="3" t="s">
        <v>642</v>
      </c>
      <c r="M118" s="3">
        <v>0.46</v>
      </c>
      <c r="N118" s="3" t="s">
        <v>488</v>
      </c>
      <c r="O118" s="3" t="s">
        <v>643</v>
      </c>
      <c r="P118" s="3">
        <v>238.89</v>
      </c>
      <c r="Q118" s="3">
        <v>0</v>
      </c>
      <c r="R118" s="3">
        <v>1</v>
      </c>
      <c r="S118" s="14" t="s">
        <v>895</v>
      </c>
      <c r="T118" s="14" t="str">
        <f t="shared" si="3"/>
        <v>(11)</v>
      </c>
      <c r="U118" s="14" t="s">
        <v>959</v>
      </c>
      <c r="V118" s="11">
        <f t="shared" si="4"/>
        <v>167.44108166938759</v>
      </c>
      <c r="W118" s="11">
        <f t="shared" si="5"/>
        <v>20.930135208673448</v>
      </c>
    </row>
    <row r="119" spans="4:23" ht="27.75" hidden="1" thickBot="1" x14ac:dyDescent="0.3">
      <c r="D119" s="3">
        <v>2</v>
      </c>
      <c r="E119" s="3" t="s">
        <v>583</v>
      </c>
      <c r="F119" s="4" t="s">
        <v>644</v>
      </c>
      <c r="G119" s="4" t="s">
        <v>645</v>
      </c>
      <c r="H119" s="4" t="s">
        <v>640</v>
      </c>
      <c r="I119" s="3" t="s">
        <v>646</v>
      </c>
      <c r="J119" s="3">
        <v>2.2000000000000002</v>
      </c>
      <c r="K119" s="3">
        <v>6.0999999999999999E-2</v>
      </c>
      <c r="L119" s="3" t="s">
        <v>647</v>
      </c>
      <c r="M119" s="3">
        <v>0.35</v>
      </c>
      <c r="N119" s="3" t="s">
        <v>488</v>
      </c>
      <c r="O119" s="3">
        <v>0.30099999999999999</v>
      </c>
      <c r="P119" s="3">
        <v>466.32</v>
      </c>
      <c r="Q119" s="3">
        <v>0</v>
      </c>
      <c r="R119" s="3">
        <v>1</v>
      </c>
      <c r="S119" s="14" t="s">
        <v>895</v>
      </c>
      <c r="T119" s="14" t="str">
        <f t="shared" si="3"/>
        <v>(11)</v>
      </c>
      <c r="U119" s="14" t="s">
        <v>959</v>
      </c>
      <c r="V119" s="11">
        <f t="shared" si="4"/>
        <v>85.778006519128496</v>
      </c>
      <c r="W119" s="11">
        <f t="shared" si="5"/>
        <v>10.722250814891062</v>
      </c>
    </row>
    <row r="120" spans="4:23" ht="27.75" hidden="1" thickBot="1" x14ac:dyDescent="0.3">
      <c r="D120" s="3">
        <v>2</v>
      </c>
      <c r="E120" s="3" t="s">
        <v>583</v>
      </c>
      <c r="F120" s="4" t="s">
        <v>648</v>
      </c>
      <c r="G120" s="4" t="s">
        <v>649</v>
      </c>
      <c r="H120" s="4" t="s">
        <v>640</v>
      </c>
      <c r="I120" s="3">
        <v>90.8</v>
      </c>
      <c r="J120" s="3">
        <v>3.2</v>
      </c>
      <c r="K120" s="3" t="s">
        <v>650</v>
      </c>
      <c r="L120" s="3" t="s">
        <v>651</v>
      </c>
      <c r="M120" s="3">
        <v>0.44</v>
      </c>
      <c r="N120" s="3" t="s">
        <v>488</v>
      </c>
      <c r="O120" s="3">
        <v>0.29099999999999998</v>
      </c>
      <c r="P120" s="3">
        <v>148.27000000000001</v>
      </c>
      <c r="Q120" s="3">
        <v>0</v>
      </c>
      <c r="R120" s="3">
        <v>1</v>
      </c>
      <c r="S120" s="14" t="s">
        <v>895</v>
      </c>
      <c r="T120" s="14" t="str">
        <f t="shared" si="3"/>
        <v>(11)</v>
      </c>
      <c r="U120" s="14" t="s">
        <v>959</v>
      </c>
      <c r="V120" s="11">
        <f t="shared" si="4"/>
        <v>269.77810750657585</v>
      </c>
      <c r="W120" s="11">
        <f t="shared" si="5"/>
        <v>33.722263438321981</v>
      </c>
    </row>
    <row r="121" spans="4:23" ht="27.75" hidden="1" thickBot="1" x14ac:dyDescent="0.3">
      <c r="D121" s="3">
        <v>2</v>
      </c>
      <c r="E121" s="3" t="s">
        <v>583</v>
      </c>
      <c r="F121" s="4" t="s">
        <v>652</v>
      </c>
      <c r="G121" s="4" t="s">
        <v>653</v>
      </c>
      <c r="H121" s="4" t="s">
        <v>654</v>
      </c>
      <c r="I121" s="3" t="s">
        <v>182</v>
      </c>
      <c r="J121" s="3">
        <v>3.63</v>
      </c>
      <c r="K121" s="3" t="s">
        <v>655</v>
      </c>
      <c r="L121" s="3" t="s">
        <v>656</v>
      </c>
      <c r="M121" s="3">
        <v>0.41399999999999998</v>
      </c>
      <c r="N121" s="3" t="s">
        <v>21</v>
      </c>
      <c r="O121" s="3" t="s">
        <v>559</v>
      </c>
      <c r="P121" s="3">
        <v>148.18</v>
      </c>
      <c r="Q121" s="3">
        <v>0</v>
      </c>
      <c r="R121" s="3">
        <v>1</v>
      </c>
      <c r="S121" s="14" t="s">
        <v>895</v>
      </c>
      <c r="T121" s="14" t="str">
        <f t="shared" si="3"/>
        <v>(11)</v>
      </c>
      <c r="U121" s="14" t="s">
        <v>959</v>
      </c>
      <c r="V121" s="11">
        <f t="shared" si="4"/>
        <v>269.94196247806718</v>
      </c>
      <c r="W121" s="11">
        <f t="shared" si="5"/>
        <v>33.742745309758398</v>
      </c>
    </row>
    <row r="122" spans="4:23" ht="68.25" thickBot="1" x14ac:dyDescent="0.3">
      <c r="D122" s="3">
        <v>2</v>
      </c>
      <c r="E122" s="3" t="s">
        <v>657</v>
      </c>
      <c r="F122" s="4" t="s">
        <v>658</v>
      </c>
      <c r="G122" s="4" t="s">
        <v>659</v>
      </c>
      <c r="H122" s="4" t="s">
        <v>660</v>
      </c>
      <c r="I122" s="3">
        <v>117</v>
      </c>
      <c r="J122" s="3">
        <v>4.78</v>
      </c>
      <c r="K122" s="3" t="s">
        <v>661</v>
      </c>
      <c r="L122" s="3">
        <v>32</v>
      </c>
      <c r="M122" s="3">
        <v>1.2E-2</v>
      </c>
      <c r="N122" s="3">
        <v>532</v>
      </c>
      <c r="O122" s="3" t="s">
        <v>76</v>
      </c>
      <c r="P122" s="3">
        <v>725</v>
      </c>
      <c r="Q122" s="3">
        <v>0.11</v>
      </c>
      <c r="R122" s="3">
        <v>2</v>
      </c>
      <c r="S122" s="14" t="s">
        <v>897</v>
      </c>
      <c r="T122" s="14" t="str">
        <f t="shared" si="3"/>
        <v>(10;11)</v>
      </c>
      <c r="U122" s="14" t="s">
        <v>961</v>
      </c>
      <c r="V122" s="11">
        <f t="shared" si="4"/>
        <v>55.172413793103445</v>
      </c>
      <c r="W122" s="11">
        <f t="shared" si="5"/>
        <v>6.8965517241379306</v>
      </c>
    </row>
    <row r="123" spans="4:23" ht="68.25" thickBot="1" x14ac:dyDescent="0.3">
      <c r="D123" s="3">
        <v>2</v>
      </c>
      <c r="E123" s="3" t="s">
        <v>657</v>
      </c>
      <c r="F123" s="4" t="s">
        <v>662</v>
      </c>
      <c r="G123" s="4" t="s">
        <v>663</v>
      </c>
      <c r="H123" s="4" t="s">
        <v>664</v>
      </c>
      <c r="I123" s="3">
        <v>100.5</v>
      </c>
      <c r="J123" s="3">
        <v>4.1100000000000003</v>
      </c>
      <c r="K123" s="3">
        <v>4.9000000000000002E-2</v>
      </c>
      <c r="L123" s="3" t="s">
        <v>665</v>
      </c>
      <c r="M123" s="3">
        <v>0.1</v>
      </c>
      <c r="N123" s="3">
        <v>750</v>
      </c>
      <c r="O123" s="3">
        <v>0.32900000000000001</v>
      </c>
      <c r="P123" s="3">
        <v>2310</v>
      </c>
      <c r="Q123" s="3">
        <v>6.5000000000000002E-2</v>
      </c>
      <c r="R123" s="3">
        <v>1</v>
      </c>
      <c r="S123" s="14" t="s">
        <v>897</v>
      </c>
      <c r="T123" s="14" t="str">
        <f t="shared" si="3"/>
        <v>(10;11)</v>
      </c>
      <c r="U123" s="14" t="s">
        <v>961</v>
      </c>
      <c r="V123" s="11">
        <f t="shared" si="4"/>
        <v>17.316017316017316</v>
      </c>
      <c r="W123" s="11">
        <f t="shared" si="5"/>
        <v>2.1645021645021645</v>
      </c>
    </row>
    <row r="124" spans="4:23" ht="15.75" hidden="1" thickBot="1" x14ac:dyDescent="0.3">
      <c r="D124" s="3">
        <v>2</v>
      </c>
      <c r="E124" s="3" t="s">
        <v>657</v>
      </c>
      <c r="F124" s="4" t="s">
        <v>666</v>
      </c>
      <c r="G124" s="4" t="s">
        <v>667</v>
      </c>
      <c r="H124" s="4" t="s">
        <v>885</v>
      </c>
      <c r="I124" s="3">
        <v>66</v>
      </c>
      <c r="J124" s="3">
        <v>2.7</v>
      </c>
      <c r="K124" s="3" t="s">
        <v>668</v>
      </c>
      <c r="L124" s="3" t="s">
        <v>669</v>
      </c>
      <c r="M124" s="3">
        <v>0.14000000000000001</v>
      </c>
      <c r="N124" s="3">
        <v>455</v>
      </c>
      <c r="O124" s="3">
        <v>0.13</v>
      </c>
      <c r="P124" s="3">
        <v>124</v>
      </c>
      <c r="Q124" s="3">
        <v>0</v>
      </c>
      <c r="R124" s="3">
        <v>1</v>
      </c>
      <c r="S124" s="14" t="s">
        <v>895</v>
      </c>
      <c r="T124" s="14" t="str">
        <f t="shared" si="3"/>
        <v>(11)</v>
      </c>
      <c r="U124" s="14" t="s">
        <v>956</v>
      </c>
      <c r="V124" s="11">
        <f t="shared" si="4"/>
        <v>322.58064516129031</v>
      </c>
      <c r="W124" s="11">
        <f t="shared" si="5"/>
        <v>40.322580645161288</v>
      </c>
    </row>
    <row r="125" spans="4:23" ht="68.25" hidden="1" thickBot="1" x14ac:dyDescent="0.3">
      <c r="D125" s="3">
        <v>2</v>
      </c>
      <c r="E125" s="3" t="s">
        <v>657</v>
      </c>
      <c r="F125" s="4" t="s">
        <v>670</v>
      </c>
      <c r="G125" s="4" t="s">
        <v>900</v>
      </c>
      <c r="H125" s="4" t="s">
        <v>901</v>
      </c>
      <c r="I125" s="3">
        <v>64.5</v>
      </c>
      <c r="J125" s="3" t="s">
        <v>368</v>
      </c>
      <c r="K125" s="3" t="s">
        <v>671</v>
      </c>
      <c r="L125" s="3" t="s">
        <v>368</v>
      </c>
      <c r="M125" s="3" t="s">
        <v>21</v>
      </c>
      <c r="N125" s="3">
        <v>510</v>
      </c>
      <c r="O125" s="3">
        <v>9.5000000000000001E-2</v>
      </c>
      <c r="P125" s="3" t="s">
        <v>21</v>
      </c>
      <c r="Q125" s="3">
        <v>0</v>
      </c>
      <c r="R125" s="3">
        <v>1</v>
      </c>
      <c r="S125" s="14" t="s">
        <v>894</v>
      </c>
      <c r="T125" s="14" t="str">
        <f>+MID(H125,FIND("(",H125),LEN(H125)-FIND("(",H125)+1)</f>
        <v>(10)</v>
      </c>
      <c r="U125" s="14" t="s">
        <v>961</v>
      </c>
      <c r="V125" s="11" t="e">
        <f t="shared" si="4"/>
        <v>#VALUE!</v>
      </c>
      <c r="W125" s="11" t="e">
        <f t="shared" si="5"/>
        <v>#VALUE!</v>
      </c>
    </row>
    <row r="126" spans="4:23" ht="27.75" hidden="1" thickBot="1" x14ac:dyDescent="0.3">
      <c r="D126" s="3">
        <v>2</v>
      </c>
      <c r="E126" s="3" t="s">
        <v>657</v>
      </c>
      <c r="F126" s="4" t="s">
        <v>672</v>
      </c>
      <c r="G126" s="4" t="s">
        <v>673</v>
      </c>
      <c r="H126" s="4" t="s">
        <v>886</v>
      </c>
      <c r="I126" s="3">
        <v>67.2</v>
      </c>
      <c r="J126" s="3">
        <v>2.75</v>
      </c>
      <c r="K126" s="3">
        <v>2.5000000000000001E-2</v>
      </c>
      <c r="L126" s="3" t="s">
        <v>674</v>
      </c>
      <c r="M126" s="3">
        <v>0.14000000000000001</v>
      </c>
      <c r="N126" s="3" t="s">
        <v>21</v>
      </c>
      <c r="O126" s="3">
        <v>0.124</v>
      </c>
      <c r="P126" s="3">
        <v>189.3</v>
      </c>
      <c r="Q126" s="3">
        <v>0</v>
      </c>
      <c r="R126" s="3">
        <v>1</v>
      </c>
      <c r="S126" s="14" t="s">
        <v>895</v>
      </c>
      <c r="T126" s="14" t="str">
        <f t="shared" si="3"/>
        <v>(11)</v>
      </c>
      <c r="U126" s="14" t="s">
        <v>956</v>
      </c>
      <c r="V126" s="11">
        <f t="shared" si="4"/>
        <v>211.30480718436343</v>
      </c>
      <c r="W126" s="11">
        <f t="shared" si="5"/>
        <v>26.413100898045428</v>
      </c>
    </row>
    <row r="127" spans="4:23" ht="68.25" thickBot="1" x14ac:dyDescent="0.3">
      <c r="D127" s="3">
        <v>2</v>
      </c>
      <c r="E127" s="3" t="s">
        <v>675</v>
      </c>
      <c r="F127" s="4" t="s">
        <v>676</v>
      </c>
      <c r="G127" s="4" t="s">
        <v>677</v>
      </c>
      <c r="H127" s="4" t="s">
        <v>678</v>
      </c>
      <c r="I127" s="3" t="s">
        <v>679</v>
      </c>
      <c r="J127" s="3">
        <v>3.68</v>
      </c>
      <c r="K127" s="3">
        <v>0.13</v>
      </c>
      <c r="L127" s="3" t="s">
        <v>680</v>
      </c>
      <c r="M127" s="3">
        <v>0.14000000000000001</v>
      </c>
      <c r="N127" s="3" t="s">
        <v>21</v>
      </c>
      <c r="O127" s="3">
        <v>0.30199999999999999</v>
      </c>
      <c r="P127" s="3">
        <v>1943</v>
      </c>
      <c r="Q127" s="3">
        <v>5.7000000000000002E-2</v>
      </c>
      <c r="R127" s="3">
        <v>1</v>
      </c>
      <c r="S127" s="14" t="s">
        <v>897</v>
      </c>
      <c r="T127" s="14" t="str">
        <f t="shared" si="3"/>
        <v>(CH3)3+ CClF2CH3 (10;11)</v>
      </c>
      <c r="U127" s="14" t="s">
        <v>961</v>
      </c>
      <c r="V127" s="11">
        <f t="shared" si="4"/>
        <v>20.586721564590839</v>
      </c>
      <c r="W127" s="11">
        <f t="shared" si="5"/>
        <v>2.5733401955738548</v>
      </c>
    </row>
    <row r="128" spans="4:23" ht="68.25" thickBot="1" x14ac:dyDescent="0.3">
      <c r="D128" s="3">
        <v>2</v>
      </c>
      <c r="E128" s="3" t="s">
        <v>675</v>
      </c>
      <c r="F128" s="4" t="s">
        <v>681</v>
      </c>
      <c r="G128" s="4" t="s">
        <v>682</v>
      </c>
      <c r="H128" s="4" t="s">
        <v>683</v>
      </c>
      <c r="I128" s="3">
        <v>82.4</v>
      </c>
      <c r="J128" s="3">
        <v>3.37</v>
      </c>
      <c r="K128" s="3" t="s">
        <v>248</v>
      </c>
      <c r="L128" s="3" t="s">
        <v>684</v>
      </c>
      <c r="M128" s="3">
        <v>7.3999999999999996E-2</v>
      </c>
      <c r="N128" s="3" t="s">
        <v>21</v>
      </c>
      <c r="O128" s="3">
        <v>0.186</v>
      </c>
      <c r="P128" s="3">
        <v>1597</v>
      </c>
      <c r="Q128" s="3">
        <v>4.8000000000000001E-2</v>
      </c>
      <c r="R128" s="3">
        <v>1</v>
      </c>
      <c r="S128" s="14" t="s">
        <v>897</v>
      </c>
      <c r="T128" s="14" t="str">
        <f t="shared" si="3"/>
        <v>(10;11)</v>
      </c>
      <c r="U128" s="14" t="s">
        <v>961</v>
      </c>
      <c r="V128" s="11">
        <f t="shared" si="4"/>
        <v>25.046963055729492</v>
      </c>
      <c r="W128" s="11">
        <f t="shared" si="5"/>
        <v>3.1308703819661865</v>
      </c>
    </row>
    <row r="129" spans="4:23" ht="68.25" thickBot="1" x14ac:dyDescent="0.3">
      <c r="D129" s="3">
        <v>2</v>
      </c>
      <c r="E129" s="3" t="s">
        <v>675</v>
      </c>
      <c r="F129" s="4" t="s">
        <v>685</v>
      </c>
      <c r="G129" s="4" t="s">
        <v>686</v>
      </c>
      <c r="H129" s="4" t="s">
        <v>683</v>
      </c>
      <c r="I129" s="3">
        <v>83.1</v>
      </c>
      <c r="J129" s="3">
        <v>3.4</v>
      </c>
      <c r="K129" s="3">
        <v>0.05</v>
      </c>
      <c r="L129" s="3" t="s">
        <v>687</v>
      </c>
      <c r="M129" s="3">
        <v>4.3999999999999997E-2</v>
      </c>
      <c r="N129" s="3" t="s">
        <v>21</v>
      </c>
      <c r="O129" s="3">
        <v>0.23899999999999999</v>
      </c>
      <c r="P129" s="3">
        <v>1705</v>
      </c>
      <c r="Q129" s="3">
        <v>5.1999999999999998E-2</v>
      </c>
      <c r="R129" s="3">
        <v>1</v>
      </c>
      <c r="S129" s="14" t="s">
        <v>897</v>
      </c>
      <c r="T129" s="14" t="str">
        <f t="shared" si="3"/>
        <v>(10;11)</v>
      </c>
      <c r="U129" s="14" t="s">
        <v>961</v>
      </c>
      <c r="V129" s="11">
        <f t="shared" si="4"/>
        <v>23.460410557184751</v>
      </c>
      <c r="W129" s="11">
        <f t="shared" si="5"/>
        <v>2.9325513196480939</v>
      </c>
    </row>
    <row r="130" spans="4:23" ht="68.25" thickBot="1" x14ac:dyDescent="0.3">
      <c r="D130" s="3">
        <v>2</v>
      </c>
      <c r="E130" s="3" t="s">
        <v>675</v>
      </c>
      <c r="F130" s="4" t="s">
        <v>688</v>
      </c>
      <c r="G130" s="4" t="s">
        <v>689</v>
      </c>
      <c r="H130" s="4" t="s">
        <v>690</v>
      </c>
      <c r="I130" s="3">
        <v>92.2</v>
      </c>
      <c r="J130" s="3">
        <v>3.77</v>
      </c>
      <c r="K130" s="3">
        <v>7.0000000000000007E-2</v>
      </c>
      <c r="L130" s="3" t="s">
        <v>691</v>
      </c>
      <c r="M130" s="3">
        <v>0.17</v>
      </c>
      <c r="N130" s="3" t="s">
        <v>21</v>
      </c>
      <c r="O130" s="3">
        <v>0.32900000000000001</v>
      </c>
      <c r="P130" s="3">
        <v>2286</v>
      </c>
      <c r="Q130" s="3">
        <v>5.5E-2</v>
      </c>
      <c r="R130" s="3">
        <v>1</v>
      </c>
      <c r="S130" s="14" t="s">
        <v>897</v>
      </c>
      <c r="T130" s="14" t="str">
        <f t="shared" si="3"/>
        <v>(10;11)</v>
      </c>
      <c r="U130" s="14" t="s">
        <v>961</v>
      </c>
      <c r="V130" s="11">
        <f t="shared" si="4"/>
        <v>17.497812773403325</v>
      </c>
      <c r="W130" s="11">
        <f t="shared" si="5"/>
        <v>2.1872265966754156</v>
      </c>
    </row>
    <row r="131" spans="4:23" ht="27.75" hidden="1" thickBot="1" x14ac:dyDescent="0.3">
      <c r="D131" s="3">
        <v>2</v>
      </c>
      <c r="E131" s="3" t="s">
        <v>675</v>
      </c>
      <c r="F131" s="4" t="s">
        <v>692</v>
      </c>
      <c r="G131" s="4" t="s">
        <v>693</v>
      </c>
      <c r="H131" s="4" t="s">
        <v>694</v>
      </c>
      <c r="I131" s="3">
        <v>103.9</v>
      </c>
      <c r="J131" s="3">
        <v>4.25</v>
      </c>
      <c r="K131" s="3">
        <v>0.08</v>
      </c>
      <c r="L131" s="3" t="s">
        <v>695</v>
      </c>
      <c r="M131" s="3">
        <v>0.21</v>
      </c>
      <c r="N131" s="3" t="s">
        <v>21</v>
      </c>
      <c r="O131" s="3">
        <v>0.375</v>
      </c>
      <c r="P131" s="3">
        <v>2053</v>
      </c>
      <c r="Q131" s="3">
        <v>0</v>
      </c>
      <c r="R131" s="3">
        <v>1</v>
      </c>
      <c r="S131" s="14" t="s">
        <v>895</v>
      </c>
      <c r="T131" s="14" t="str">
        <f t="shared" si="3"/>
        <v>(CH3)3 (11)</v>
      </c>
      <c r="U131" s="14" t="s">
        <v>958</v>
      </c>
      <c r="V131" s="11">
        <f t="shared" si="4"/>
        <v>19.48368241597662</v>
      </c>
      <c r="W131" s="11">
        <f t="shared" si="5"/>
        <v>2.4354603019970775</v>
      </c>
    </row>
    <row r="132" spans="4:23" ht="68.25" thickBot="1" x14ac:dyDescent="0.3">
      <c r="D132" s="3">
        <v>2</v>
      </c>
      <c r="E132" s="3" t="s">
        <v>675</v>
      </c>
      <c r="F132" s="4" t="s">
        <v>696</v>
      </c>
      <c r="G132" s="4" t="s">
        <v>697</v>
      </c>
      <c r="H132" s="4" t="s">
        <v>698</v>
      </c>
      <c r="I132" s="3">
        <v>81.900000000000006</v>
      </c>
      <c r="J132" s="3">
        <v>3.35</v>
      </c>
      <c r="K132" s="3">
        <v>0.04</v>
      </c>
      <c r="L132" s="3" t="s">
        <v>699</v>
      </c>
      <c r="M132" s="3">
        <v>0.19</v>
      </c>
      <c r="N132" s="3" t="s">
        <v>21</v>
      </c>
      <c r="O132" s="3">
        <v>0.188</v>
      </c>
      <c r="P132" s="3">
        <v>1507</v>
      </c>
      <c r="Q132" s="3">
        <v>2.8000000000000001E-2</v>
      </c>
      <c r="R132" s="3">
        <v>1</v>
      </c>
      <c r="S132" s="14" t="s">
        <v>897</v>
      </c>
      <c r="T132" s="14" t="str">
        <f t="shared" si="3"/>
        <v>(10;11)</v>
      </c>
      <c r="U132" s="14" t="s">
        <v>961</v>
      </c>
      <c r="V132" s="11">
        <f t="shared" si="4"/>
        <v>26.542800265428003</v>
      </c>
      <c r="W132" s="11">
        <f t="shared" si="5"/>
        <v>3.3178500331785004</v>
      </c>
    </row>
    <row r="133" spans="4:23" ht="68.25" thickBot="1" x14ac:dyDescent="0.3">
      <c r="D133" s="3">
        <v>2</v>
      </c>
      <c r="E133" s="3" t="s">
        <v>675</v>
      </c>
      <c r="F133" s="4" t="s">
        <v>700</v>
      </c>
      <c r="G133" s="4" t="s">
        <v>701</v>
      </c>
      <c r="H133" s="4" t="s">
        <v>698</v>
      </c>
      <c r="I133" s="3">
        <v>70.2</v>
      </c>
      <c r="J133" s="3">
        <v>2.87</v>
      </c>
      <c r="K133" s="3">
        <v>0.03</v>
      </c>
      <c r="L133" s="3" t="s">
        <v>702</v>
      </c>
      <c r="M133" s="3">
        <v>0.15</v>
      </c>
      <c r="N133" s="3" t="s">
        <v>21</v>
      </c>
      <c r="O133" s="3">
        <v>0.13</v>
      </c>
      <c r="P133" s="3">
        <v>545.5</v>
      </c>
      <c r="Q133" s="3">
        <v>8.9999999999999993E-3</v>
      </c>
      <c r="R133" s="3">
        <v>1</v>
      </c>
      <c r="S133" s="14" t="s">
        <v>897</v>
      </c>
      <c r="T133" s="14" t="str">
        <f t="shared" si="3"/>
        <v>(10;11)</v>
      </c>
      <c r="U133" s="14" t="s">
        <v>961</v>
      </c>
      <c r="V133" s="11">
        <f t="shared" si="4"/>
        <v>73.327222731439051</v>
      </c>
      <c r="W133" s="11">
        <f t="shared" si="5"/>
        <v>9.1659028414298813</v>
      </c>
    </row>
    <row r="134" spans="4:23" ht="68.25" thickBot="1" x14ac:dyDescent="0.3">
      <c r="D134" s="3">
        <v>2</v>
      </c>
      <c r="E134" s="3" t="s">
        <v>675</v>
      </c>
      <c r="F134" s="4" t="s">
        <v>703</v>
      </c>
      <c r="G134" s="4" t="s">
        <v>704</v>
      </c>
      <c r="H134" s="4" t="s">
        <v>705</v>
      </c>
      <c r="I134" s="3">
        <v>84.6</v>
      </c>
      <c r="J134" s="3">
        <v>3.46</v>
      </c>
      <c r="K134" s="3">
        <v>0.06</v>
      </c>
      <c r="L134" s="3" t="s">
        <v>706</v>
      </c>
      <c r="M134" s="3">
        <v>0.2</v>
      </c>
      <c r="N134" s="3" t="s">
        <v>21</v>
      </c>
      <c r="O134" s="3">
        <v>0.31</v>
      </c>
      <c r="P134" s="3">
        <v>1741</v>
      </c>
      <c r="Q134" s="3">
        <v>3.3000000000000002E-2</v>
      </c>
      <c r="R134" s="3">
        <v>1</v>
      </c>
      <c r="S134" s="14" t="s">
        <v>897</v>
      </c>
      <c r="T134" s="14" t="str">
        <f t="shared" si="3"/>
        <v>(10;11)</v>
      </c>
      <c r="U134" s="14" t="s">
        <v>961</v>
      </c>
      <c r="V134" s="11">
        <f t="shared" si="4"/>
        <v>22.975301550832853</v>
      </c>
      <c r="W134" s="11">
        <f t="shared" si="5"/>
        <v>2.8719126938541066</v>
      </c>
    </row>
    <row r="135" spans="4:23" ht="27.75" hidden="1" thickBot="1" x14ac:dyDescent="0.3">
      <c r="D135" s="3">
        <v>2</v>
      </c>
      <c r="E135" s="3" t="s">
        <v>675</v>
      </c>
      <c r="F135" s="4" t="s">
        <v>707</v>
      </c>
      <c r="G135" s="4" t="s">
        <v>708</v>
      </c>
      <c r="H135" s="4" t="s">
        <v>709</v>
      </c>
      <c r="I135" s="3">
        <v>109.3</v>
      </c>
      <c r="J135" s="3">
        <v>4.47</v>
      </c>
      <c r="K135" s="3">
        <v>0.05</v>
      </c>
      <c r="L135" s="3" t="s">
        <v>710</v>
      </c>
      <c r="M135" s="3">
        <v>0.31</v>
      </c>
      <c r="N135" s="3" t="s">
        <v>21</v>
      </c>
      <c r="O135" s="3">
        <v>0.25</v>
      </c>
      <c r="P135" s="3">
        <v>2967</v>
      </c>
      <c r="Q135" s="3">
        <v>0</v>
      </c>
      <c r="R135" s="3">
        <v>1</v>
      </c>
      <c r="S135" s="14" t="s">
        <v>895</v>
      </c>
      <c r="T135" s="14" t="str">
        <f t="shared" si="3"/>
        <v>(11)</v>
      </c>
      <c r="U135" s="14" t="s">
        <v>956</v>
      </c>
      <c r="V135" s="11">
        <f t="shared" si="4"/>
        <v>13.481631277384563</v>
      </c>
      <c r="W135" s="11">
        <f t="shared" si="5"/>
        <v>1.6852039096730704</v>
      </c>
    </row>
    <row r="136" spans="4:23" ht="27.75" hidden="1" thickBot="1" x14ac:dyDescent="0.3">
      <c r="D136" s="3">
        <v>2</v>
      </c>
      <c r="E136" s="3" t="s">
        <v>675</v>
      </c>
      <c r="F136" s="4" t="s">
        <v>711</v>
      </c>
      <c r="G136" s="4" t="s">
        <v>712</v>
      </c>
      <c r="H136" s="4" t="s">
        <v>709</v>
      </c>
      <c r="I136" s="3">
        <v>105.2</v>
      </c>
      <c r="J136" s="3">
        <v>4.3</v>
      </c>
      <c r="K136" s="3">
        <v>0.06</v>
      </c>
      <c r="L136" s="3" t="s">
        <v>713</v>
      </c>
      <c r="M136" s="3">
        <v>0.26</v>
      </c>
      <c r="N136" s="3" t="s">
        <v>21</v>
      </c>
      <c r="O136" s="3">
        <v>0.28999999999999998</v>
      </c>
      <c r="P136" s="3">
        <v>2384</v>
      </c>
      <c r="Q136" s="3">
        <v>0</v>
      </c>
      <c r="R136" s="3">
        <v>1</v>
      </c>
      <c r="S136" s="14" t="s">
        <v>895</v>
      </c>
      <c r="T136" s="14" t="str">
        <f t="shared" si="3"/>
        <v>(11)</v>
      </c>
      <c r="U136" s="14" t="s">
        <v>956</v>
      </c>
      <c r="V136" s="11">
        <f t="shared" si="4"/>
        <v>16.778523489932887</v>
      </c>
      <c r="W136" s="11">
        <f t="shared" si="5"/>
        <v>2.0973154362416109</v>
      </c>
    </row>
    <row r="137" spans="4:23" ht="27.75" hidden="1" thickBot="1" x14ac:dyDescent="0.3">
      <c r="D137" s="3">
        <v>2</v>
      </c>
      <c r="E137" s="3" t="s">
        <v>675</v>
      </c>
      <c r="F137" s="4" t="s">
        <v>714</v>
      </c>
      <c r="G137" s="4" t="s">
        <v>715</v>
      </c>
      <c r="H137" s="4" t="s">
        <v>716</v>
      </c>
      <c r="I137" s="3">
        <v>71.2</v>
      </c>
      <c r="J137" s="3">
        <v>2.91</v>
      </c>
      <c r="K137" s="3">
        <v>6.0999999999999999E-2</v>
      </c>
      <c r="L137" s="3" t="s">
        <v>717</v>
      </c>
      <c r="M137" s="3" t="s">
        <v>142</v>
      </c>
      <c r="N137" s="3" t="s">
        <v>21</v>
      </c>
      <c r="O137" s="3">
        <v>0.30399999999999999</v>
      </c>
      <c r="P137" s="3">
        <v>1983</v>
      </c>
      <c r="Q137" s="3">
        <v>0</v>
      </c>
      <c r="R137" s="3">
        <v>1</v>
      </c>
      <c r="S137" s="14" t="s">
        <v>895</v>
      </c>
      <c r="T137" s="14" t="str">
        <f t="shared" si="3"/>
        <v>(CH3)3 (11)</v>
      </c>
      <c r="U137" s="14" t="s">
        <v>956</v>
      </c>
      <c r="V137" s="11">
        <f t="shared" si="4"/>
        <v>20.17145738779627</v>
      </c>
      <c r="W137" s="11">
        <f t="shared" si="5"/>
        <v>2.5214321734745337</v>
      </c>
    </row>
    <row r="138" spans="4:23" ht="37.9" hidden="1" customHeight="1" thickBot="1" x14ac:dyDescent="0.3">
      <c r="D138" s="8">
        <v>2</v>
      </c>
      <c r="E138" s="8" t="s">
        <v>675</v>
      </c>
      <c r="F138" s="9" t="s">
        <v>718</v>
      </c>
      <c r="G138" s="9" t="s">
        <v>719</v>
      </c>
      <c r="H138" s="9" t="s">
        <v>887</v>
      </c>
      <c r="I138" s="8">
        <v>66.2</v>
      </c>
      <c r="J138" s="8">
        <v>2.71</v>
      </c>
      <c r="K138" s="8">
        <v>2.5000000000000001E-2</v>
      </c>
      <c r="L138" s="8" t="s">
        <v>845</v>
      </c>
      <c r="M138" s="8">
        <v>0.14000000000000001</v>
      </c>
      <c r="N138" s="8" t="s">
        <v>21</v>
      </c>
      <c r="O138" s="8">
        <v>0.124</v>
      </c>
      <c r="P138" s="8">
        <v>144.19999999999999</v>
      </c>
      <c r="Q138" s="8">
        <v>0</v>
      </c>
      <c r="R138" s="8">
        <v>1</v>
      </c>
      <c r="S138" s="14" t="s">
        <v>895</v>
      </c>
      <c r="T138" s="14" t="str">
        <f t="shared" si="3"/>
        <v>(11)</v>
      </c>
      <c r="U138" s="14" t="s">
        <v>956</v>
      </c>
      <c r="V138" s="11">
        <f t="shared" si="4"/>
        <v>277.39251040221916</v>
      </c>
      <c r="W138" s="11">
        <f t="shared" si="5"/>
        <v>34.674063800277395</v>
      </c>
    </row>
    <row r="139" spans="4:23" ht="41.25" hidden="1" thickBot="1" x14ac:dyDescent="0.3">
      <c r="D139" s="3">
        <v>2</v>
      </c>
      <c r="E139" s="3" t="s">
        <v>675</v>
      </c>
      <c r="F139" s="4" t="s">
        <v>867</v>
      </c>
      <c r="G139" s="4" t="s">
        <v>720</v>
      </c>
      <c r="H139" s="4" t="s">
        <v>888</v>
      </c>
      <c r="I139" s="3">
        <v>108.45</v>
      </c>
      <c r="J139" s="3" t="s">
        <v>368</v>
      </c>
      <c r="K139" s="3">
        <v>9.4E-2</v>
      </c>
      <c r="L139" s="3" t="s">
        <v>721</v>
      </c>
      <c r="M139" s="3" t="s">
        <v>21</v>
      </c>
      <c r="N139" s="3" t="s">
        <v>21</v>
      </c>
      <c r="O139" s="3" t="s">
        <v>21</v>
      </c>
      <c r="P139" s="3">
        <v>2578.1</v>
      </c>
      <c r="Q139" s="3">
        <v>0</v>
      </c>
      <c r="R139" s="3">
        <v>1</v>
      </c>
      <c r="S139" s="14" t="s">
        <v>895</v>
      </c>
      <c r="T139" s="14" t="str">
        <f t="shared" ref="T139:T172" si="6">+MID(H139,FIND("(",H139),LEN(H139)-FIND("(",H139)+1)</f>
        <v>(11)</v>
      </c>
      <c r="U139" s="14" t="s">
        <v>956</v>
      </c>
      <c r="V139" s="11">
        <f t="shared" ref="V139:V172" si="7">40000*1/P139</f>
        <v>15.515301966564525</v>
      </c>
      <c r="W139" s="11">
        <f t="shared" ref="W139:W172" si="8">5000/P139</f>
        <v>1.9394127458205657</v>
      </c>
    </row>
    <row r="140" spans="4:23" ht="68.25" hidden="1" thickBot="1" x14ac:dyDescent="0.3">
      <c r="D140" s="3">
        <v>2</v>
      </c>
      <c r="E140" s="3" t="s">
        <v>722</v>
      </c>
      <c r="F140" s="4" t="s">
        <v>723</v>
      </c>
      <c r="G140" s="4" t="s">
        <v>724</v>
      </c>
      <c r="H140" s="4" t="s">
        <v>725</v>
      </c>
      <c r="I140" s="3">
        <v>103</v>
      </c>
      <c r="J140" s="3" t="s">
        <v>368</v>
      </c>
      <c r="K140" s="3">
        <v>0.1</v>
      </c>
      <c r="L140" s="3">
        <v>8.92</v>
      </c>
      <c r="M140" s="3" t="s">
        <v>21</v>
      </c>
      <c r="N140" s="3" t="s">
        <v>21</v>
      </c>
      <c r="O140" s="3" t="s">
        <v>22</v>
      </c>
      <c r="P140" s="3" t="s">
        <v>21</v>
      </c>
      <c r="Q140" s="3">
        <v>0</v>
      </c>
      <c r="R140" s="3">
        <v>1</v>
      </c>
      <c r="S140" s="14" t="s">
        <v>894</v>
      </c>
      <c r="T140" s="14" t="str">
        <f t="shared" si="6"/>
        <v>(10)</v>
      </c>
      <c r="U140" s="14" t="s">
        <v>961</v>
      </c>
      <c r="V140" s="11" t="e">
        <f t="shared" si="7"/>
        <v>#VALUE!</v>
      </c>
      <c r="W140" s="11" t="e">
        <f t="shared" si="8"/>
        <v>#VALUE!</v>
      </c>
    </row>
    <row r="141" spans="4:23" ht="68.25" hidden="1" thickBot="1" x14ac:dyDescent="0.3">
      <c r="D141" s="3">
        <v>2</v>
      </c>
      <c r="E141" s="3" t="s">
        <v>722</v>
      </c>
      <c r="F141" s="4" t="s">
        <v>726</v>
      </c>
      <c r="G141" s="4" t="s">
        <v>727</v>
      </c>
      <c r="H141" s="4" t="s">
        <v>728</v>
      </c>
      <c r="I141" s="3">
        <v>153</v>
      </c>
      <c r="J141" s="3" t="s">
        <v>76</v>
      </c>
      <c r="K141" s="3">
        <v>0.1</v>
      </c>
      <c r="L141" s="3">
        <v>27</v>
      </c>
      <c r="M141" s="3">
        <v>5.7000000000000002E-2</v>
      </c>
      <c r="N141" s="3">
        <v>730</v>
      </c>
      <c r="O141" s="3" t="s">
        <v>22</v>
      </c>
      <c r="P141" s="3">
        <v>77</v>
      </c>
      <c r="Q141" s="3">
        <v>0.02</v>
      </c>
      <c r="R141" s="3">
        <v>2</v>
      </c>
      <c r="S141" s="14" t="s">
        <v>894</v>
      </c>
      <c r="T141" s="14" t="str">
        <f t="shared" si="6"/>
        <v>(10)</v>
      </c>
      <c r="U141" s="14" t="s">
        <v>961</v>
      </c>
      <c r="V141" s="11">
        <f t="shared" si="7"/>
        <v>519.48051948051943</v>
      </c>
      <c r="W141" s="11">
        <f t="shared" si="8"/>
        <v>64.935064935064929</v>
      </c>
    </row>
    <row r="142" spans="4:23" ht="27.75" hidden="1" thickBot="1" x14ac:dyDescent="0.3">
      <c r="D142" s="3">
        <v>2</v>
      </c>
      <c r="E142" s="3" t="s">
        <v>722</v>
      </c>
      <c r="F142" s="4" t="s">
        <v>729</v>
      </c>
      <c r="G142" s="4" t="s">
        <v>730</v>
      </c>
      <c r="H142" s="4" t="s">
        <v>731</v>
      </c>
      <c r="I142" s="3">
        <v>134</v>
      </c>
      <c r="J142" s="3">
        <v>5.48</v>
      </c>
      <c r="K142" s="3">
        <v>0.19</v>
      </c>
      <c r="L142" s="3">
        <v>15</v>
      </c>
      <c r="M142" s="3">
        <v>0.19</v>
      </c>
      <c r="N142" s="3" t="s">
        <v>21</v>
      </c>
      <c r="O142" s="3" t="s">
        <v>22</v>
      </c>
      <c r="P142" s="3">
        <v>1030</v>
      </c>
      <c r="Q142" s="3">
        <v>0</v>
      </c>
      <c r="R142" s="3">
        <v>2</v>
      </c>
      <c r="S142" s="14" t="s">
        <v>895</v>
      </c>
      <c r="T142" s="14" t="str">
        <f t="shared" si="6"/>
        <v>(11)</v>
      </c>
      <c r="U142" s="14" t="s">
        <v>956</v>
      </c>
      <c r="V142" s="11">
        <f t="shared" si="7"/>
        <v>38.834951456310677</v>
      </c>
      <c r="W142" s="11">
        <f t="shared" si="8"/>
        <v>4.8543689320388346</v>
      </c>
    </row>
    <row r="143" spans="4:23" ht="54.75" hidden="1" thickBot="1" x14ac:dyDescent="0.3">
      <c r="D143" s="3">
        <v>2</v>
      </c>
      <c r="E143" s="3" t="s">
        <v>722</v>
      </c>
      <c r="F143" s="4" t="s">
        <v>732</v>
      </c>
      <c r="G143" s="4" t="s">
        <v>733</v>
      </c>
      <c r="H143" s="4" t="s">
        <v>734</v>
      </c>
      <c r="I143" s="3">
        <v>64.099999999999994</v>
      </c>
      <c r="J143" s="3" t="s">
        <v>368</v>
      </c>
      <c r="K143" s="3" t="s">
        <v>735</v>
      </c>
      <c r="L143" s="3" t="s">
        <v>665</v>
      </c>
      <c r="M143" s="3" t="s">
        <v>21</v>
      </c>
      <c r="N143" s="3" t="s">
        <v>21</v>
      </c>
      <c r="O143" s="3" t="s">
        <v>22</v>
      </c>
      <c r="P143" s="3" t="s">
        <v>21</v>
      </c>
      <c r="Q143" s="3">
        <v>0</v>
      </c>
      <c r="R143" s="3">
        <v>1</v>
      </c>
      <c r="S143" s="14" t="s">
        <v>898</v>
      </c>
      <c r="T143" s="14" t="e">
        <f t="shared" si="6"/>
        <v>#VALUE!</v>
      </c>
      <c r="U143" s="14" t="s">
        <v>960</v>
      </c>
      <c r="V143" s="11" t="e">
        <f t="shared" si="7"/>
        <v>#VALUE!</v>
      </c>
      <c r="W143" s="11" t="e">
        <f t="shared" si="8"/>
        <v>#VALUE!</v>
      </c>
    </row>
    <row r="144" spans="4:23" ht="54.75" hidden="1" thickBot="1" x14ac:dyDescent="0.3">
      <c r="D144" s="3">
        <v>2</v>
      </c>
      <c r="E144" s="3" t="s">
        <v>736</v>
      </c>
      <c r="F144" s="4" t="s">
        <v>737</v>
      </c>
      <c r="G144" s="4" t="s">
        <v>738</v>
      </c>
      <c r="H144" s="4" t="s">
        <v>739</v>
      </c>
      <c r="I144" s="3">
        <v>17</v>
      </c>
      <c r="J144" s="3">
        <v>0.7</v>
      </c>
      <c r="K144" s="3">
        <v>3.5E-4</v>
      </c>
      <c r="L144" s="3" t="s">
        <v>740</v>
      </c>
      <c r="M144" s="3">
        <v>2.2000000000000001E-4</v>
      </c>
      <c r="N144" s="3">
        <v>630</v>
      </c>
      <c r="O144" s="3">
        <v>0.11600000000000001</v>
      </c>
      <c r="P144" s="3">
        <v>0</v>
      </c>
      <c r="Q144" s="3">
        <v>0</v>
      </c>
      <c r="R144" s="3">
        <v>1</v>
      </c>
      <c r="S144" s="14" t="s">
        <v>898</v>
      </c>
      <c r="T144" s="14" t="e">
        <f t="shared" si="6"/>
        <v>#VALUE!</v>
      </c>
      <c r="U144" s="14" t="s">
        <v>960</v>
      </c>
      <c r="V144" s="11" t="e">
        <f t="shared" si="7"/>
        <v>#DIV/0!</v>
      </c>
      <c r="W144" s="11" t="e">
        <f t="shared" si="8"/>
        <v>#DIV/0!</v>
      </c>
    </row>
    <row r="145" spans="4:23" ht="68.25" hidden="1" thickBot="1" x14ac:dyDescent="0.3">
      <c r="D145" s="3">
        <v>2</v>
      </c>
      <c r="E145" s="3" t="s">
        <v>741</v>
      </c>
      <c r="F145" s="4" t="s">
        <v>742</v>
      </c>
      <c r="G145" s="4" t="s">
        <v>743</v>
      </c>
      <c r="H145" s="4" t="s">
        <v>744</v>
      </c>
      <c r="I145" s="3">
        <v>84.9</v>
      </c>
      <c r="J145" s="3">
        <v>3.47</v>
      </c>
      <c r="K145" s="3">
        <v>1.7000000000000001E-2</v>
      </c>
      <c r="L145" s="3">
        <v>40</v>
      </c>
      <c r="M145" s="3" t="s">
        <v>21</v>
      </c>
      <c r="N145" s="3">
        <v>662</v>
      </c>
      <c r="O145" s="3">
        <v>0.41699999999999998</v>
      </c>
      <c r="P145" s="3">
        <v>9</v>
      </c>
      <c r="Q145" s="3" t="s">
        <v>21</v>
      </c>
      <c r="R145" s="3">
        <v>2</v>
      </c>
      <c r="S145" s="14" t="s">
        <v>894</v>
      </c>
      <c r="T145" s="14" t="str">
        <f t="shared" si="6"/>
        <v>(10)</v>
      </c>
      <c r="U145" s="14" t="s">
        <v>961</v>
      </c>
      <c r="V145" s="11">
        <f t="shared" si="7"/>
        <v>4444.4444444444443</v>
      </c>
      <c r="W145" s="11">
        <f t="shared" si="8"/>
        <v>555.55555555555554</v>
      </c>
    </row>
    <row r="146" spans="4:23" ht="68.25" hidden="1" thickBot="1" x14ac:dyDescent="0.3">
      <c r="D146" s="3">
        <v>2</v>
      </c>
      <c r="E146" s="3" t="s">
        <v>741</v>
      </c>
      <c r="F146" s="4" t="s">
        <v>745</v>
      </c>
      <c r="G146" s="4" t="s">
        <v>746</v>
      </c>
      <c r="H146" s="4" t="s">
        <v>747</v>
      </c>
      <c r="I146" s="3">
        <v>50.5</v>
      </c>
      <c r="J146" s="3" t="s">
        <v>368</v>
      </c>
      <c r="K146" s="3">
        <v>2.1000000000000001E-2</v>
      </c>
      <c r="L146" s="3" t="s">
        <v>674</v>
      </c>
      <c r="M146" s="3" t="s">
        <v>21</v>
      </c>
      <c r="N146" s="3">
        <v>625</v>
      </c>
      <c r="O146" s="3">
        <v>0.14699999999999999</v>
      </c>
      <c r="P146" s="3" t="s">
        <v>21</v>
      </c>
      <c r="Q146" s="3">
        <v>0</v>
      </c>
      <c r="R146" s="3">
        <v>1</v>
      </c>
      <c r="S146" s="14" t="s">
        <v>894</v>
      </c>
      <c r="T146" s="14" t="str">
        <f t="shared" si="6"/>
        <v>(10)</v>
      </c>
      <c r="U146" s="14" t="s">
        <v>961</v>
      </c>
      <c r="V146" s="11" t="e">
        <f t="shared" si="7"/>
        <v>#VALUE!</v>
      </c>
      <c r="W146" s="11" t="e">
        <f t="shared" si="8"/>
        <v>#VALUE!</v>
      </c>
    </row>
    <row r="147" spans="4:23" ht="54.75" hidden="1" thickBot="1" x14ac:dyDescent="0.3">
      <c r="D147" s="3">
        <v>2</v>
      </c>
      <c r="E147" s="3" t="s">
        <v>741</v>
      </c>
      <c r="F147" s="4" t="s">
        <v>748</v>
      </c>
      <c r="G147" s="4" t="s">
        <v>749</v>
      </c>
      <c r="H147" s="4" t="s">
        <v>750</v>
      </c>
      <c r="I147" s="3">
        <v>60</v>
      </c>
      <c r="J147" s="3" t="s">
        <v>368</v>
      </c>
      <c r="K147" s="3">
        <v>1.2E-2</v>
      </c>
      <c r="L147" s="3">
        <v>31.2</v>
      </c>
      <c r="M147" s="3" t="s">
        <v>21</v>
      </c>
      <c r="N147" s="3">
        <v>456</v>
      </c>
      <c r="O147" s="3">
        <v>0.123</v>
      </c>
      <c r="P147" s="3" t="s">
        <v>21</v>
      </c>
      <c r="Q147" s="3">
        <v>0</v>
      </c>
      <c r="R147" s="3">
        <v>1</v>
      </c>
      <c r="S147" s="14" t="s">
        <v>899</v>
      </c>
      <c r="T147" s="14" t="e">
        <f t="shared" si="6"/>
        <v>#VALUE!</v>
      </c>
      <c r="U147" s="14" t="s">
        <v>960</v>
      </c>
      <c r="V147" s="11" t="e">
        <f t="shared" si="7"/>
        <v>#VALUE!</v>
      </c>
      <c r="W147" s="11" t="e">
        <f t="shared" si="8"/>
        <v>#VALUE!</v>
      </c>
    </row>
    <row r="148" spans="4:23" ht="54.75" hidden="1" thickBot="1" x14ac:dyDescent="0.3">
      <c r="D148" s="3">
        <v>2</v>
      </c>
      <c r="E148" s="3" t="s">
        <v>741</v>
      </c>
      <c r="F148" s="4" t="s">
        <v>751</v>
      </c>
      <c r="G148" s="4" t="s">
        <v>752</v>
      </c>
      <c r="H148" s="4" t="s">
        <v>753</v>
      </c>
      <c r="I148" s="3">
        <v>96.9</v>
      </c>
      <c r="J148" s="3" t="s">
        <v>368</v>
      </c>
      <c r="K148" s="3" t="s">
        <v>21</v>
      </c>
      <c r="L148" s="3"/>
      <c r="M148" s="3" t="s">
        <v>21</v>
      </c>
      <c r="N148" s="3">
        <v>458</v>
      </c>
      <c r="O148" s="3">
        <v>0.246</v>
      </c>
      <c r="P148" s="3" t="s">
        <v>21</v>
      </c>
      <c r="Q148" s="3">
        <v>0</v>
      </c>
      <c r="R148" s="3">
        <v>1</v>
      </c>
      <c r="S148" s="14" t="s">
        <v>899</v>
      </c>
      <c r="T148" s="14" t="e">
        <f t="shared" si="6"/>
        <v>#VALUE!</v>
      </c>
      <c r="U148" s="14" t="s">
        <v>960</v>
      </c>
      <c r="V148" s="11" t="e">
        <f t="shared" si="7"/>
        <v>#VALUE!</v>
      </c>
      <c r="W148" s="11" t="e">
        <f t="shared" si="8"/>
        <v>#VALUE!</v>
      </c>
    </row>
    <row r="149" spans="4:23" ht="54.75" hidden="1" thickBot="1" x14ac:dyDescent="0.3">
      <c r="D149" s="3">
        <v>3</v>
      </c>
      <c r="E149" s="3" t="s">
        <v>754</v>
      </c>
      <c r="F149" s="4" t="s">
        <v>755</v>
      </c>
      <c r="G149" s="4" t="s">
        <v>756</v>
      </c>
      <c r="H149" s="4" t="s">
        <v>757</v>
      </c>
      <c r="I149" s="3">
        <v>16</v>
      </c>
      <c r="J149" s="3" t="s">
        <v>758</v>
      </c>
      <c r="K149" s="3">
        <v>6.0000000000000001E-3</v>
      </c>
      <c r="L149" s="3" t="s">
        <v>759</v>
      </c>
      <c r="M149" s="3" t="s">
        <v>21</v>
      </c>
      <c r="N149" s="3">
        <v>645</v>
      </c>
      <c r="O149" s="3">
        <v>3.2000000000000001E-2</v>
      </c>
      <c r="P149" s="3">
        <v>25</v>
      </c>
      <c r="Q149" s="3">
        <v>0</v>
      </c>
      <c r="R149" s="3">
        <v>1</v>
      </c>
      <c r="S149" s="14" t="s">
        <v>899</v>
      </c>
      <c r="T149" s="14" t="e">
        <f t="shared" si="6"/>
        <v>#VALUE!</v>
      </c>
      <c r="U149" s="14" t="s">
        <v>960</v>
      </c>
      <c r="V149" s="11">
        <f t="shared" si="7"/>
        <v>1600</v>
      </c>
      <c r="W149" s="11">
        <f t="shared" si="8"/>
        <v>200</v>
      </c>
    </row>
    <row r="150" spans="4:23" ht="54.75" hidden="1" thickBot="1" x14ac:dyDescent="0.3">
      <c r="D150" s="3">
        <v>3</v>
      </c>
      <c r="E150" s="3" t="s">
        <v>754</v>
      </c>
      <c r="F150" s="4" t="s">
        <v>760</v>
      </c>
      <c r="G150" s="4" t="s">
        <v>761</v>
      </c>
      <c r="H150" s="4" t="s">
        <v>762</v>
      </c>
      <c r="I150" s="3">
        <v>30</v>
      </c>
      <c r="J150" s="3">
        <v>1.23</v>
      </c>
      <c r="K150" s="3">
        <v>8.6E-3</v>
      </c>
      <c r="L150" s="3" t="s">
        <v>763</v>
      </c>
      <c r="M150" s="3">
        <v>8.6E-3</v>
      </c>
      <c r="N150" s="3">
        <v>515</v>
      </c>
      <c r="O150" s="3">
        <v>3.7999999999999999E-2</v>
      </c>
      <c r="P150" s="3">
        <v>6</v>
      </c>
      <c r="Q150" s="3">
        <v>0</v>
      </c>
      <c r="R150" s="3">
        <v>1</v>
      </c>
      <c r="S150" s="14" t="s">
        <v>899</v>
      </c>
      <c r="T150" s="14" t="e">
        <f t="shared" si="6"/>
        <v>#VALUE!</v>
      </c>
      <c r="U150" s="14" t="s">
        <v>960</v>
      </c>
      <c r="V150" s="11">
        <f t="shared" si="7"/>
        <v>6666.666666666667</v>
      </c>
      <c r="W150" s="11">
        <f t="shared" si="8"/>
        <v>833.33333333333337</v>
      </c>
    </row>
    <row r="151" spans="4:23" ht="54.75" hidden="1" thickBot="1" x14ac:dyDescent="0.3">
      <c r="D151" s="3">
        <v>3</v>
      </c>
      <c r="E151" s="3" t="s">
        <v>754</v>
      </c>
      <c r="F151" s="4" t="s">
        <v>764</v>
      </c>
      <c r="G151" s="4" t="s">
        <v>765</v>
      </c>
      <c r="H151" s="4" t="s">
        <v>766</v>
      </c>
      <c r="I151" s="3">
        <v>44</v>
      </c>
      <c r="J151" s="3">
        <v>1.8</v>
      </c>
      <c r="K151" s="3">
        <v>8.0000000000000002E-3</v>
      </c>
      <c r="L151" s="3" t="s">
        <v>767</v>
      </c>
      <c r="M151" s="3">
        <v>0.09</v>
      </c>
      <c r="N151" s="3">
        <v>470</v>
      </c>
      <c r="O151" s="3">
        <v>3.7999999999999999E-2</v>
      </c>
      <c r="P151" s="3">
        <v>3</v>
      </c>
      <c r="Q151" s="3">
        <v>0</v>
      </c>
      <c r="R151" s="3">
        <v>1</v>
      </c>
      <c r="S151" s="14" t="s">
        <v>899</v>
      </c>
      <c r="T151" s="14" t="e">
        <f t="shared" si="6"/>
        <v>#VALUE!</v>
      </c>
      <c r="U151" s="14" t="s">
        <v>960</v>
      </c>
      <c r="V151" s="11">
        <f t="shared" si="7"/>
        <v>13333.333333333334</v>
      </c>
      <c r="W151" s="11">
        <f t="shared" si="8"/>
        <v>1666.6666666666667</v>
      </c>
    </row>
    <row r="152" spans="4:23" ht="54.75" hidden="1" thickBot="1" x14ac:dyDescent="0.3">
      <c r="D152" s="3">
        <v>3</v>
      </c>
      <c r="E152" s="3" t="s">
        <v>754</v>
      </c>
      <c r="F152" s="4" t="s">
        <v>768</v>
      </c>
      <c r="G152" s="4" t="s">
        <v>769</v>
      </c>
      <c r="H152" s="4" t="s">
        <v>770</v>
      </c>
      <c r="I152" s="3">
        <v>58.1</v>
      </c>
      <c r="J152" s="3">
        <v>2.38</v>
      </c>
      <c r="K152" s="3">
        <v>8.8999999999999999E-3</v>
      </c>
      <c r="L152" s="3">
        <v>0</v>
      </c>
      <c r="M152" s="3">
        <v>2.3999999999999998E-3</v>
      </c>
      <c r="N152" s="3">
        <v>365</v>
      </c>
      <c r="O152" s="3">
        <v>3.7999999999999999E-2</v>
      </c>
      <c r="P152" s="3">
        <v>4</v>
      </c>
      <c r="Q152" s="3">
        <v>0</v>
      </c>
      <c r="R152" s="3">
        <v>1</v>
      </c>
      <c r="S152" s="14" t="s">
        <v>899</v>
      </c>
      <c r="T152" s="14" t="e">
        <f t="shared" si="6"/>
        <v>#VALUE!</v>
      </c>
      <c r="U152" s="14" t="s">
        <v>960</v>
      </c>
      <c r="V152" s="11">
        <f t="shared" si="7"/>
        <v>10000</v>
      </c>
      <c r="W152" s="11">
        <f t="shared" si="8"/>
        <v>1250</v>
      </c>
    </row>
    <row r="153" spans="4:23" ht="54.75" hidden="1" thickBot="1" x14ac:dyDescent="0.3">
      <c r="D153" s="3">
        <v>3</v>
      </c>
      <c r="E153" s="3" t="s">
        <v>754</v>
      </c>
      <c r="F153" s="4" t="s">
        <v>771</v>
      </c>
      <c r="G153" s="4" t="s">
        <v>772</v>
      </c>
      <c r="H153" s="4" t="s">
        <v>773</v>
      </c>
      <c r="I153" s="3">
        <v>58.1</v>
      </c>
      <c r="J153" s="3">
        <v>2.38</v>
      </c>
      <c r="K153" s="3">
        <v>1.0999999999999999E-2</v>
      </c>
      <c r="L153" s="3" t="s">
        <v>103</v>
      </c>
      <c r="M153" s="3">
        <v>5.8999999999999997E-2</v>
      </c>
      <c r="N153" s="3">
        <v>460</v>
      </c>
      <c r="O153" s="3">
        <v>4.2999999999999997E-2</v>
      </c>
      <c r="P153" s="3">
        <v>3</v>
      </c>
      <c r="Q153" s="3">
        <v>0</v>
      </c>
      <c r="R153" s="3">
        <v>1</v>
      </c>
      <c r="S153" s="14" t="s">
        <v>899</v>
      </c>
      <c r="T153" s="14" t="str">
        <f t="shared" si="6"/>
        <v>(CH3)3</v>
      </c>
      <c r="U153" s="14" t="s">
        <v>960</v>
      </c>
      <c r="V153" s="11">
        <f t="shared" si="7"/>
        <v>13333.333333333334</v>
      </c>
      <c r="W153" s="11">
        <f t="shared" si="8"/>
        <v>1666.6666666666667</v>
      </c>
    </row>
    <row r="154" spans="4:23" ht="54.75" hidden="1" thickBot="1" x14ac:dyDescent="0.3">
      <c r="D154" s="3">
        <v>3</v>
      </c>
      <c r="E154" s="3" t="s">
        <v>754</v>
      </c>
      <c r="F154" s="4" t="s">
        <v>774</v>
      </c>
      <c r="G154" s="4" t="s">
        <v>775</v>
      </c>
      <c r="H154" s="4" t="s">
        <v>776</v>
      </c>
      <c r="I154" s="3">
        <v>72.099999999999994</v>
      </c>
      <c r="J154" s="3">
        <v>2.95</v>
      </c>
      <c r="K154" s="3">
        <v>8.0000000000000002E-3</v>
      </c>
      <c r="L154" s="3">
        <v>36</v>
      </c>
      <c r="M154" s="3">
        <v>2.8999999999999998E-3</v>
      </c>
      <c r="N154" s="3" t="s">
        <v>21</v>
      </c>
      <c r="O154" s="3">
        <v>3.5000000000000003E-2</v>
      </c>
      <c r="P154" s="3">
        <v>5</v>
      </c>
      <c r="Q154" s="3">
        <v>0</v>
      </c>
      <c r="R154" s="3">
        <v>1</v>
      </c>
      <c r="S154" s="14" t="s">
        <v>899</v>
      </c>
      <c r="T154" s="14" t="e">
        <f t="shared" si="6"/>
        <v>#VALUE!</v>
      </c>
      <c r="U154" s="14" t="s">
        <v>960</v>
      </c>
      <c r="V154" s="11">
        <f t="shared" si="7"/>
        <v>8000</v>
      </c>
      <c r="W154" s="11">
        <f t="shared" si="8"/>
        <v>1000</v>
      </c>
    </row>
    <row r="155" spans="4:23" ht="54.75" hidden="1" thickBot="1" x14ac:dyDescent="0.3">
      <c r="D155" s="3">
        <v>3</v>
      </c>
      <c r="E155" s="3" t="s">
        <v>754</v>
      </c>
      <c r="F155" s="4" t="s">
        <v>777</v>
      </c>
      <c r="G155" s="4" t="s">
        <v>778</v>
      </c>
      <c r="H155" s="4" t="s">
        <v>779</v>
      </c>
      <c r="I155" s="3">
        <v>72.099999999999994</v>
      </c>
      <c r="J155" s="3">
        <v>2.95</v>
      </c>
      <c r="K155" s="3">
        <v>8.0000000000000002E-3</v>
      </c>
      <c r="L155" s="3">
        <v>27</v>
      </c>
      <c r="M155" s="3">
        <v>2.8999999999999998E-3</v>
      </c>
      <c r="N155" s="3" t="s">
        <v>21</v>
      </c>
      <c r="O155" s="3">
        <v>3.7999999999999999E-2</v>
      </c>
      <c r="P155" s="3">
        <v>5</v>
      </c>
      <c r="Q155" s="3">
        <v>0</v>
      </c>
      <c r="R155" s="3">
        <v>1</v>
      </c>
      <c r="S155" s="14" t="s">
        <v>899</v>
      </c>
      <c r="T155" s="14" t="str">
        <f t="shared" si="6"/>
        <v>(CH3)2CHCH2CH3</v>
      </c>
      <c r="U155" s="14" t="s">
        <v>960</v>
      </c>
      <c r="V155" s="11">
        <f t="shared" si="7"/>
        <v>8000</v>
      </c>
      <c r="W155" s="11">
        <f t="shared" si="8"/>
        <v>1000</v>
      </c>
    </row>
    <row r="156" spans="4:23" ht="54.75" hidden="1" thickBot="1" x14ac:dyDescent="0.3">
      <c r="D156" s="3">
        <v>3</v>
      </c>
      <c r="E156" s="3" t="s">
        <v>754</v>
      </c>
      <c r="F156" s="4" t="s">
        <v>780</v>
      </c>
      <c r="G156" s="4" t="s">
        <v>781</v>
      </c>
      <c r="H156" s="4" t="s">
        <v>782</v>
      </c>
      <c r="I156" s="3">
        <v>28.1</v>
      </c>
      <c r="J156" s="3" t="s">
        <v>783</v>
      </c>
      <c r="K156" s="3">
        <v>6.0000000000000001E-3</v>
      </c>
      <c r="L156" s="3" t="s">
        <v>784</v>
      </c>
      <c r="M156" s="3" t="s">
        <v>21</v>
      </c>
      <c r="N156" s="3">
        <v>425</v>
      </c>
      <c r="O156" s="3">
        <v>3.5999999999999997E-2</v>
      </c>
      <c r="P156" s="3">
        <v>4</v>
      </c>
      <c r="Q156" s="3">
        <v>0</v>
      </c>
      <c r="R156" s="3">
        <v>1</v>
      </c>
      <c r="S156" s="14" t="s">
        <v>899</v>
      </c>
      <c r="T156" s="14" t="e">
        <f t="shared" si="6"/>
        <v>#VALUE!</v>
      </c>
      <c r="U156" s="14" t="s">
        <v>960</v>
      </c>
      <c r="V156" s="11">
        <f t="shared" si="7"/>
        <v>10000</v>
      </c>
      <c r="W156" s="11">
        <f t="shared" si="8"/>
        <v>1250</v>
      </c>
    </row>
    <row r="157" spans="4:23" ht="54.75" hidden="1" thickBot="1" x14ac:dyDescent="0.3">
      <c r="D157" s="3">
        <v>3</v>
      </c>
      <c r="E157" s="3" t="s">
        <v>754</v>
      </c>
      <c r="F157" s="4" t="s">
        <v>785</v>
      </c>
      <c r="G157" s="4" t="s">
        <v>786</v>
      </c>
      <c r="H157" s="4" t="s">
        <v>787</v>
      </c>
      <c r="I157" s="3">
        <v>42.1</v>
      </c>
      <c r="J157" s="3">
        <v>1.72</v>
      </c>
      <c r="K157" s="3">
        <v>8.0000000000000002E-3</v>
      </c>
      <c r="L157" s="3" t="s">
        <v>788</v>
      </c>
      <c r="M157" s="3">
        <v>1.6999999999999999E-3</v>
      </c>
      <c r="N157" s="3">
        <v>455</v>
      </c>
      <c r="O157" s="3">
        <v>4.5999999999999999E-2</v>
      </c>
      <c r="P157" s="3">
        <v>2</v>
      </c>
      <c r="Q157" s="3">
        <v>0</v>
      </c>
      <c r="R157" s="3">
        <v>1</v>
      </c>
      <c r="S157" s="14" t="s">
        <v>899</v>
      </c>
      <c r="T157" s="14" t="e">
        <f t="shared" si="6"/>
        <v>#VALUE!</v>
      </c>
      <c r="U157" s="14" t="s">
        <v>960</v>
      </c>
      <c r="V157" s="11">
        <f t="shared" si="7"/>
        <v>20000</v>
      </c>
      <c r="W157" s="11">
        <f t="shared" si="8"/>
        <v>2500</v>
      </c>
    </row>
    <row r="158" spans="4:23" ht="54.75" hidden="1" thickBot="1" x14ac:dyDescent="0.3">
      <c r="D158" s="3">
        <v>3</v>
      </c>
      <c r="E158" s="3" t="s">
        <v>754</v>
      </c>
      <c r="F158" s="4" t="s">
        <v>789</v>
      </c>
      <c r="G158" s="4" t="s">
        <v>790</v>
      </c>
      <c r="H158" s="4" t="s">
        <v>791</v>
      </c>
      <c r="I158" s="3">
        <v>46</v>
      </c>
      <c r="J158" s="3">
        <v>1.88</v>
      </c>
      <c r="K158" s="3">
        <v>1.2999999999999999E-2</v>
      </c>
      <c r="L158" s="3" t="s">
        <v>669</v>
      </c>
      <c r="M158" s="3">
        <v>7.9000000000000001E-2</v>
      </c>
      <c r="N158" s="3">
        <v>235</v>
      </c>
      <c r="O158" s="3">
        <v>6.4000000000000001E-2</v>
      </c>
      <c r="P158" s="3">
        <v>1</v>
      </c>
      <c r="Q158" s="3">
        <v>0</v>
      </c>
      <c r="R158" s="3">
        <v>1</v>
      </c>
      <c r="S158" s="14" t="s">
        <v>899</v>
      </c>
      <c r="T158" s="14" t="e">
        <f t="shared" si="6"/>
        <v>#VALUE!</v>
      </c>
      <c r="U158" s="14" t="s">
        <v>960</v>
      </c>
      <c r="V158" s="11">
        <f t="shared" si="7"/>
        <v>40000</v>
      </c>
      <c r="W158" s="11">
        <f t="shared" si="8"/>
        <v>5000</v>
      </c>
    </row>
    <row r="159" spans="4:23" ht="54.75" hidden="1" thickBot="1" x14ac:dyDescent="0.3">
      <c r="D159" s="3">
        <v>3</v>
      </c>
      <c r="E159" s="3" t="s">
        <v>754</v>
      </c>
      <c r="F159" s="4" t="s">
        <v>792</v>
      </c>
      <c r="G159" s="4" t="s">
        <v>793</v>
      </c>
      <c r="H159" s="4" t="s">
        <v>794</v>
      </c>
      <c r="I159" s="3">
        <v>47.25</v>
      </c>
      <c r="J159" s="3">
        <v>1.93</v>
      </c>
      <c r="K159" s="3">
        <v>1.0999999999999999E-2</v>
      </c>
      <c r="L159" s="3" t="s">
        <v>795</v>
      </c>
      <c r="M159" s="3" t="s">
        <v>407</v>
      </c>
      <c r="N159" s="3" t="s">
        <v>21</v>
      </c>
      <c r="O159" s="3">
        <v>5.6000000000000001E-2</v>
      </c>
      <c r="P159" s="3">
        <v>1.2</v>
      </c>
      <c r="Q159" s="3">
        <v>0</v>
      </c>
      <c r="R159" s="3">
        <v>1</v>
      </c>
      <c r="S159" s="14" t="s">
        <v>899</v>
      </c>
      <c r="T159" s="14" t="str">
        <f t="shared" si="6"/>
        <v>(CH3)3</v>
      </c>
      <c r="U159" s="14" t="s">
        <v>960</v>
      </c>
      <c r="V159" s="11">
        <f t="shared" si="7"/>
        <v>33333.333333333336</v>
      </c>
      <c r="W159" s="11">
        <f t="shared" si="8"/>
        <v>4166.666666666667</v>
      </c>
    </row>
    <row r="160" spans="4:23" ht="54.75" hidden="1" thickBot="1" x14ac:dyDescent="0.3">
      <c r="D160" s="3">
        <v>3</v>
      </c>
      <c r="E160" s="3" t="s">
        <v>754</v>
      </c>
      <c r="F160" s="4" t="s">
        <v>796</v>
      </c>
      <c r="G160" s="4" t="s">
        <v>797</v>
      </c>
      <c r="H160" s="4" t="s">
        <v>798</v>
      </c>
      <c r="I160" s="3">
        <v>44.2</v>
      </c>
      <c r="J160" s="3">
        <v>1.81</v>
      </c>
      <c r="K160" s="3">
        <v>8.0000000000000002E-3</v>
      </c>
      <c r="L160" s="3">
        <v>-42</v>
      </c>
      <c r="M160" s="3">
        <v>9.1999999999999998E-2</v>
      </c>
      <c r="N160" s="3" t="s">
        <v>21</v>
      </c>
      <c r="O160" s="3">
        <v>3.7999999999999999E-2</v>
      </c>
      <c r="P160" s="3">
        <v>2.9</v>
      </c>
      <c r="Q160" s="3">
        <v>0</v>
      </c>
      <c r="R160" s="3">
        <v>1</v>
      </c>
      <c r="S160" s="14" t="s">
        <v>899</v>
      </c>
      <c r="T160" s="14" t="e">
        <f t="shared" si="6"/>
        <v>#VALUE!</v>
      </c>
      <c r="U160" s="14" t="s">
        <v>960</v>
      </c>
      <c r="V160" s="11">
        <f t="shared" si="7"/>
        <v>13793.103448275862</v>
      </c>
      <c r="W160" s="11">
        <f t="shared" si="8"/>
        <v>1724.1379310344828</v>
      </c>
    </row>
    <row r="161" spans="4:23" ht="27.75" hidden="1" thickBot="1" x14ac:dyDescent="0.3">
      <c r="D161" s="3">
        <v>3</v>
      </c>
      <c r="E161" s="3" t="s">
        <v>799</v>
      </c>
      <c r="F161" s="4" t="s">
        <v>800</v>
      </c>
      <c r="G161" s="4" t="s">
        <v>801</v>
      </c>
      <c r="H161" s="4" t="s">
        <v>889</v>
      </c>
      <c r="I161" s="3">
        <v>50.8</v>
      </c>
      <c r="J161" s="3">
        <v>2.08</v>
      </c>
      <c r="K161" s="3">
        <v>9.8000000000000004E-2</v>
      </c>
      <c r="L161" s="3" t="s">
        <v>802</v>
      </c>
      <c r="M161" s="3">
        <v>9.8000000000000004E-2</v>
      </c>
      <c r="N161" s="3" t="s">
        <v>21</v>
      </c>
      <c r="O161" s="3">
        <v>5.1999999999999998E-2</v>
      </c>
      <c r="P161" s="3">
        <v>13.9</v>
      </c>
      <c r="Q161" s="3">
        <v>0</v>
      </c>
      <c r="R161" s="3">
        <v>1</v>
      </c>
      <c r="S161" s="14" t="s">
        <v>895</v>
      </c>
      <c r="T161" s="14" t="str">
        <f t="shared" si="6"/>
        <v>(CH3)3 (11)</v>
      </c>
      <c r="U161" s="14" t="s">
        <v>956</v>
      </c>
      <c r="V161" s="11">
        <f t="shared" si="7"/>
        <v>2877.6978417266187</v>
      </c>
      <c r="W161" s="11">
        <f t="shared" si="8"/>
        <v>359.71223021582733</v>
      </c>
    </row>
    <row r="162" spans="4:23" ht="27.75" hidden="1" thickBot="1" x14ac:dyDescent="0.3">
      <c r="D162" s="3">
        <v>3</v>
      </c>
      <c r="E162" s="3" t="s">
        <v>799</v>
      </c>
      <c r="F162" s="4" t="s">
        <v>803</v>
      </c>
      <c r="G162" s="4" t="s">
        <v>804</v>
      </c>
      <c r="H162" s="4" t="s">
        <v>890</v>
      </c>
      <c r="I162" s="3">
        <v>64</v>
      </c>
      <c r="J162" s="3">
        <v>2.61</v>
      </c>
      <c r="K162" s="3">
        <v>0.1</v>
      </c>
      <c r="L162" s="3" t="s">
        <v>805</v>
      </c>
      <c r="M162" s="3">
        <v>0.1</v>
      </c>
      <c r="N162" s="3" t="s">
        <v>21</v>
      </c>
      <c r="O162" s="3">
        <v>8.4000000000000005E-2</v>
      </c>
      <c r="P162" s="3">
        <v>95</v>
      </c>
      <c r="Q162" s="3">
        <v>0</v>
      </c>
      <c r="R162" s="3">
        <v>1</v>
      </c>
      <c r="S162" s="14" t="s">
        <v>895</v>
      </c>
      <c r="T162" s="14" t="str">
        <f t="shared" si="6"/>
        <v>(CH3)3 (11)</v>
      </c>
      <c r="U162" s="14" t="s">
        <v>956</v>
      </c>
      <c r="V162" s="11">
        <f t="shared" si="7"/>
        <v>421.05263157894734</v>
      </c>
      <c r="W162" s="11">
        <f t="shared" si="8"/>
        <v>52.631578947368418</v>
      </c>
    </row>
    <row r="163" spans="4:23" ht="27.75" hidden="1" thickBot="1" x14ac:dyDescent="0.3">
      <c r="D163" s="3">
        <v>3</v>
      </c>
      <c r="E163" s="3" t="s">
        <v>799</v>
      </c>
      <c r="F163" s="4" t="s">
        <v>806</v>
      </c>
      <c r="G163" s="4" t="s">
        <v>807</v>
      </c>
      <c r="H163" s="4" t="s">
        <v>891</v>
      </c>
      <c r="I163" s="3">
        <v>48.8</v>
      </c>
      <c r="J163" s="3">
        <v>2</v>
      </c>
      <c r="K163" s="3">
        <v>8.9999999999999993E-3</v>
      </c>
      <c r="L163" s="3" t="s">
        <v>808</v>
      </c>
      <c r="M163" s="3">
        <v>0.1</v>
      </c>
      <c r="N163" s="3" t="s">
        <v>21</v>
      </c>
      <c r="O163" s="3">
        <v>4.3999999999999997E-2</v>
      </c>
      <c r="P163" s="3">
        <v>38.1</v>
      </c>
      <c r="Q163" s="3">
        <v>0</v>
      </c>
      <c r="R163" s="3">
        <v>1</v>
      </c>
      <c r="S163" s="14" t="s">
        <v>895</v>
      </c>
      <c r="T163" s="14" t="str">
        <f t="shared" si="6"/>
        <v>(11)</v>
      </c>
      <c r="U163" s="14" t="s">
        <v>956</v>
      </c>
      <c r="V163" s="11">
        <f t="shared" si="7"/>
        <v>1049.8687664041995</v>
      </c>
      <c r="W163" s="11">
        <f t="shared" si="8"/>
        <v>131.23359580052494</v>
      </c>
    </row>
    <row r="164" spans="4:23" ht="54.75" hidden="1" thickBot="1" x14ac:dyDescent="0.3">
      <c r="D164" s="3">
        <v>3</v>
      </c>
      <c r="E164" s="3" t="s">
        <v>799</v>
      </c>
      <c r="F164" s="4" t="s">
        <v>809</v>
      </c>
      <c r="G164" s="4" t="s">
        <v>810</v>
      </c>
      <c r="H164" s="4" t="s">
        <v>811</v>
      </c>
      <c r="I164" s="3">
        <v>42.8</v>
      </c>
      <c r="J164" s="3">
        <v>1.75</v>
      </c>
      <c r="K164" s="3">
        <v>8.0000000000000002E-3</v>
      </c>
      <c r="L164" s="3" t="s">
        <v>812</v>
      </c>
      <c r="M164" s="3">
        <v>2.0999999999999999E-3</v>
      </c>
      <c r="N164" s="3" t="s">
        <v>21</v>
      </c>
      <c r="O164" s="3">
        <v>3.9E-2</v>
      </c>
      <c r="P164" s="3">
        <v>1.8</v>
      </c>
      <c r="Q164" s="3">
        <v>0</v>
      </c>
      <c r="R164" s="3">
        <v>1</v>
      </c>
      <c r="S164" s="14" t="s">
        <v>899</v>
      </c>
      <c r="T164" s="14" t="e">
        <f t="shared" si="6"/>
        <v>#VALUE!</v>
      </c>
      <c r="U164" s="14" t="s">
        <v>960</v>
      </c>
      <c r="V164" s="11">
        <f t="shared" si="7"/>
        <v>22222.222222222223</v>
      </c>
      <c r="W164" s="11">
        <f t="shared" si="8"/>
        <v>2777.7777777777778</v>
      </c>
    </row>
    <row r="165" spans="4:23" ht="54.75" hidden="1" thickBot="1" x14ac:dyDescent="0.3">
      <c r="D165" s="3">
        <v>3</v>
      </c>
      <c r="E165" s="3" t="s">
        <v>799</v>
      </c>
      <c r="F165" s="4" t="s">
        <v>813</v>
      </c>
      <c r="G165" s="4" t="s">
        <v>814</v>
      </c>
      <c r="H165" s="4" t="s">
        <v>815</v>
      </c>
      <c r="I165" s="3">
        <v>43.5</v>
      </c>
      <c r="J165" s="3">
        <v>1.78</v>
      </c>
      <c r="K165" s="3">
        <v>7.0000000000000001E-3</v>
      </c>
      <c r="L165" s="3" t="s">
        <v>816</v>
      </c>
      <c r="M165" s="3">
        <v>5.4999999999999997E-3</v>
      </c>
      <c r="N165" s="3" t="s">
        <v>21</v>
      </c>
      <c r="O165" s="3">
        <v>3.5999999999999997E-2</v>
      </c>
      <c r="P165" s="3">
        <v>2.7</v>
      </c>
      <c r="Q165" s="3">
        <v>0</v>
      </c>
      <c r="R165" s="3">
        <v>1</v>
      </c>
      <c r="S165" s="14" t="s">
        <v>899</v>
      </c>
      <c r="T165" s="14" t="e">
        <f t="shared" si="6"/>
        <v>#VALUE!</v>
      </c>
      <c r="U165" s="14" t="s">
        <v>960</v>
      </c>
      <c r="V165" s="11">
        <f t="shared" si="7"/>
        <v>14814.814814814814</v>
      </c>
      <c r="W165" s="11">
        <f t="shared" si="8"/>
        <v>1851.8518518518517</v>
      </c>
    </row>
    <row r="166" spans="4:23" ht="54.75" hidden="1" thickBot="1" x14ac:dyDescent="0.3">
      <c r="D166" s="3">
        <v>3</v>
      </c>
      <c r="E166" s="3" t="s">
        <v>799</v>
      </c>
      <c r="F166" s="4" t="s">
        <v>817</v>
      </c>
      <c r="G166" s="4" t="s">
        <v>818</v>
      </c>
      <c r="H166" s="4" t="s">
        <v>815</v>
      </c>
      <c r="I166" s="3">
        <v>43.6</v>
      </c>
      <c r="J166" s="3">
        <v>1.78</v>
      </c>
      <c r="K166" s="3">
        <v>6.0000000000000001E-3</v>
      </c>
      <c r="L166" s="3" t="s">
        <v>819</v>
      </c>
      <c r="M166" s="3">
        <v>6.6E-3</v>
      </c>
      <c r="N166" s="3" t="s">
        <v>21</v>
      </c>
      <c r="O166" s="3">
        <v>3.2000000000000001E-2</v>
      </c>
      <c r="P166" s="3">
        <v>2.8</v>
      </c>
      <c r="Q166" s="3">
        <v>0</v>
      </c>
      <c r="R166" s="3">
        <v>1</v>
      </c>
      <c r="S166" s="14" t="s">
        <v>899</v>
      </c>
      <c r="T166" s="14" t="e">
        <f t="shared" si="6"/>
        <v>#VALUE!</v>
      </c>
      <c r="U166" s="14" t="s">
        <v>960</v>
      </c>
      <c r="V166" s="11">
        <f t="shared" si="7"/>
        <v>14285.714285714286</v>
      </c>
      <c r="W166" s="11">
        <f t="shared" si="8"/>
        <v>1785.7142857142858</v>
      </c>
    </row>
    <row r="167" spans="4:23" ht="27.75" hidden="1" thickBot="1" x14ac:dyDescent="0.3">
      <c r="D167" s="3">
        <v>3</v>
      </c>
      <c r="E167" s="3" t="s">
        <v>799</v>
      </c>
      <c r="F167" s="4" t="s">
        <v>820</v>
      </c>
      <c r="G167" s="4" t="s">
        <v>821</v>
      </c>
      <c r="H167" s="4" t="s">
        <v>892</v>
      </c>
      <c r="I167" s="3">
        <v>49</v>
      </c>
      <c r="J167" s="3">
        <v>2</v>
      </c>
      <c r="K167" s="3">
        <v>1.4E-2</v>
      </c>
      <c r="L167" s="3" t="s">
        <v>822</v>
      </c>
      <c r="M167" s="3">
        <v>0.09</v>
      </c>
      <c r="N167" s="3" t="s">
        <v>21</v>
      </c>
      <c r="O167" s="3">
        <v>6.9000000000000006E-2</v>
      </c>
      <c r="P167" s="3">
        <v>25.6</v>
      </c>
      <c r="Q167" s="3">
        <v>0</v>
      </c>
      <c r="R167" s="3">
        <v>1</v>
      </c>
      <c r="S167" s="14" t="s">
        <v>895</v>
      </c>
      <c r="T167" s="14" t="str">
        <f t="shared" si="6"/>
        <v>(11)</v>
      </c>
      <c r="U167" s="14" t="s">
        <v>956</v>
      </c>
      <c r="V167" s="11">
        <f t="shared" si="7"/>
        <v>1562.5</v>
      </c>
      <c r="W167" s="11">
        <f t="shared" si="8"/>
        <v>195.3125</v>
      </c>
    </row>
    <row r="168" spans="4:23" ht="54.75" hidden="1" thickBot="1" x14ac:dyDescent="0.3">
      <c r="D168" s="3">
        <v>3</v>
      </c>
      <c r="E168" s="3" t="s">
        <v>799</v>
      </c>
      <c r="F168" s="4" t="s">
        <v>823</v>
      </c>
      <c r="G168" s="4" t="s">
        <v>824</v>
      </c>
      <c r="H168" s="4" t="s">
        <v>825</v>
      </c>
      <c r="I168" s="3">
        <v>49.3</v>
      </c>
      <c r="J168" s="3">
        <v>2.02</v>
      </c>
      <c r="K168" s="3">
        <v>6.0000000000000001E-3</v>
      </c>
      <c r="L168" s="3" t="s">
        <v>826</v>
      </c>
      <c r="M168" s="3">
        <v>7.2999999999999995E-2</v>
      </c>
      <c r="N168" s="3" t="s">
        <v>21</v>
      </c>
      <c r="O168" s="3">
        <v>3.2000000000000001E-2</v>
      </c>
      <c r="P168" s="3">
        <v>3</v>
      </c>
      <c r="Q168" s="3">
        <v>0</v>
      </c>
      <c r="R168" s="3">
        <v>1</v>
      </c>
      <c r="S168" s="14" t="s">
        <v>899</v>
      </c>
      <c r="T168" s="14" t="str">
        <f t="shared" si="6"/>
        <v>(CH3)3</v>
      </c>
      <c r="U168" s="14" t="s">
        <v>960</v>
      </c>
      <c r="V168" s="11">
        <f t="shared" si="7"/>
        <v>13333.333333333334</v>
      </c>
      <c r="W168" s="11">
        <f t="shared" si="8"/>
        <v>1666.6666666666667</v>
      </c>
    </row>
    <row r="169" spans="4:23" ht="54.75" hidden="1" thickBot="1" x14ac:dyDescent="0.3">
      <c r="D169" s="3">
        <v>3</v>
      </c>
      <c r="E169" s="3" t="s">
        <v>799</v>
      </c>
      <c r="F169" s="4" t="s">
        <v>827</v>
      </c>
      <c r="G169" s="4" t="s">
        <v>828</v>
      </c>
      <c r="H169" s="4" t="s">
        <v>825</v>
      </c>
      <c r="I169" s="3">
        <v>49.9</v>
      </c>
      <c r="J169" s="3">
        <v>2</v>
      </c>
      <c r="K169" s="3">
        <v>7.0000000000000001E-3</v>
      </c>
      <c r="L169" s="3" t="s">
        <v>829</v>
      </c>
      <c r="M169" s="3">
        <v>7.0999999999999994E-2</v>
      </c>
      <c r="N169" s="3" t="s">
        <v>21</v>
      </c>
      <c r="O169" s="3">
        <v>3.3000000000000002E-2</v>
      </c>
      <c r="P169" s="3">
        <v>3</v>
      </c>
      <c r="Q169" s="3">
        <v>0</v>
      </c>
      <c r="R169" s="3">
        <v>1</v>
      </c>
      <c r="S169" s="14" t="s">
        <v>899</v>
      </c>
      <c r="T169" s="14" t="str">
        <f t="shared" si="6"/>
        <v>(CH3)3</v>
      </c>
      <c r="U169" s="14" t="s">
        <v>960</v>
      </c>
      <c r="V169" s="11">
        <f t="shared" si="7"/>
        <v>13333.333333333334</v>
      </c>
      <c r="W169" s="11">
        <f t="shared" si="8"/>
        <v>1666.6666666666667</v>
      </c>
    </row>
    <row r="170" spans="4:23" ht="54.75" hidden="1" thickBot="1" x14ac:dyDescent="0.3">
      <c r="D170" s="3">
        <v>3</v>
      </c>
      <c r="E170" s="3" t="s">
        <v>799</v>
      </c>
      <c r="F170" s="4" t="s">
        <v>830</v>
      </c>
      <c r="G170" s="4" t="s">
        <v>831</v>
      </c>
      <c r="H170" s="4" t="s">
        <v>832</v>
      </c>
      <c r="I170" s="3">
        <v>48.3</v>
      </c>
      <c r="J170" s="3">
        <v>1.98</v>
      </c>
      <c r="K170" s="3">
        <v>6.3E-3</v>
      </c>
      <c r="L170" s="3" t="s">
        <v>833</v>
      </c>
      <c r="M170" s="3">
        <v>6.3E-3</v>
      </c>
      <c r="N170" s="3" t="s">
        <v>21</v>
      </c>
      <c r="O170" s="3">
        <v>3.2000000000000001E-2</v>
      </c>
      <c r="P170" s="3">
        <v>3.5</v>
      </c>
      <c r="Q170" s="3">
        <v>0</v>
      </c>
      <c r="R170" s="3">
        <v>1</v>
      </c>
      <c r="S170" s="14" t="s">
        <v>899</v>
      </c>
      <c r="T170" s="14" t="str">
        <f t="shared" si="6"/>
        <v>(CH3)3+C4H10</v>
      </c>
      <c r="U170" s="14" t="s">
        <v>960</v>
      </c>
      <c r="V170" s="11">
        <f t="shared" si="7"/>
        <v>11428.571428571429</v>
      </c>
      <c r="W170" s="11">
        <f t="shared" si="8"/>
        <v>1428.5714285714287</v>
      </c>
    </row>
    <row r="171" spans="4:23" ht="54.75" hidden="1" thickBot="1" x14ac:dyDescent="0.3">
      <c r="D171" s="3">
        <v>3</v>
      </c>
      <c r="E171" s="3" t="s">
        <v>799</v>
      </c>
      <c r="F171" s="4" t="s">
        <v>834</v>
      </c>
      <c r="G171" s="4" t="s">
        <v>835</v>
      </c>
      <c r="H171" s="4" t="s">
        <v>836</v>
      </c>
      <c r="I171" s="3">
        <v>43.47</v>
      </c>
      <c r="J171" s="3">
        <v>1.8</v>
      </c>
      <c r="K171" s="3">
        <v>3.0000000000000001E-3</v>
      </c>
      <c r="L171" s="3" t="s">
        <v>837</v>
      </c>
      <c r="M171" s="3">
        <v>3.0000000000000001E-3</v>
      </c>
      <c r="N171" s="3" t="s">
        <v>21</v>
      </c>
      <c r="O171" s="3">
        <v>3.5999999999999997E-2</v>
      </c>
      <c r="P171" s="3">
        <v>2.5</v>
      </c>
      <c r="Q171" s="3">
        <v>0</v>
      </c>
      <c r="R171" s="3">
        <v>1</v>
      </c>
      <c r="S171" s="14" t="s">
        <v>899</v>
      </c>
      <c r="T171" s="14" t="str">
        <f t="shared" si="6"/>
        <v>(CH3)3</v>
      </c>
      <c r="U171" s="14" t="s">
        <v>960</v>
      </c>
      <c r="V171" s="11">
        <f t="shared" si="7"/>
        <v>16000</v>
      </c>
      <c r="W171" s="11">
        <f t="shared" si="8"/>
        <v>2000</v>
      </c>
    </row>
    <row r="172" spans="4:23" ht="68.25" hidden="1" thickBot="1" x14ac:dyDescent="0.3">
      <c r="D172" s="3">
        <v>3</v>
      </c>
      <c r="E172" s="3" t="s">
        <v>799</v>
      </c>
      <c r="F172" s="4" t="s">
        <v>866</v>
      </c>
      <c r="G172" s="4" t="s">
        <v>838</v>
      </c>
      <c r="H172" s="4" t="s">
        <v>893</v>
      </c>
      <c r="I172" s="3">
        <v>44</v>
      </c>
      <c r="J172" s="3">
        <v>1.82</v>
      </c>
      <c r="K172" s="3">
        <v>1.0800000000000001E-2</v>
      </c>
      <c r="L172" s="3" t="s">
        <v>839</v>
      </c>
      <c r="M172" s="3" t="s">
        <v>21</v>
      </c>
      <c r="N172" s="3" t="s">
        <v>21</v>
      </c>
      <c r="O172" s="3">
        <v>5.3999999999999999E-2</v>
      </c>
      <c r="P172" s="3">
        <v>143.9</v>
      </c>
      <c r="Q172" s="3">
        <v>0</v>
      </c>
      <c r="R172" s="3">
        <v>1</v>
      </c>
      <c r="S172" s="14" t="s">
        <v>895</v>
      </c>
      <c r="T172" s="14" t="str">
        <f t="shared" si="6"/>
        <v>(11)</v>
      </c>
      <c r="U172" s="14" t="s">
        <v>956</v>
      </c>
      <c r="V172" s="11">
        <f t="shared" si="7"/>
        <v>277.9708130646282</v>
      </c>
      <c r="W172" s="11">
        <f t="shared" si="8"/>
        <v>34.746351633078525</v>
      </c>
    </row>
    <row r="173" spans="4:23" hidden="1" x14ac:dyDescent="0.25">
      <c r="F173" s="13" t="s">
        <v>872</v>
      </c>
      <c r="T173" s="14"/>
      <c r="U173" s="14"/>
    </row>
    <row r="190" spans="27:27" x14ac:dyDescent="0.25">
      <c r="AA190" s="29" t="s">
        <v>986</v>
      </c>
    </row>
  </sheetData>
  <autoFilter ref="D6:W173" xr:uid="{00000000-0001-0000-0000-000000000000}">
    <filterColumn colId="0" showButton="0"/>
    <filterColumn colId="10" showButton="0"/>
    <filterColumn colId="15">
      <filters>
        <filter val="Gas fluorado y que daña la capa de ozono"/>
      </filters>
    </filterColumn>
  </autoFilter>
  <mergeCells count="20">
    <mergeCell ref="D6:E7"/>
    <mergeCell ref="H6:H9"/>
    <mergeCell ref="N6:O7"/>
    <mergeCell ref="D8:D9"/>
    <mergeCell ref="E8:E9"/>
    <mergeCell ref="M6:M9"/>
    <mergeCell ref="N8:N9"/>
    <mergeCell ref="F6:F9"/>
    <mergeCell ref="V6:V9"/>
    <mergeCell ref="W6:W9"/>
    <mergeCell ref="G6:G9"/>
    <mergeCell ref="I6:I9"/>
    <mergeCell ref="J6:J9"/>
    <mergeCell ref="K6:K9"/>
    <mergeCell ref="L6:L9"/>
    <mergeCell ref="P6:P9"/>
    <mergeCell ref="Q6:Q9"/>
    <mergeCell ref="R6:R9"/>
    <mergeCell ref="T6:T9"/>
    <mergeCell ref="S6:S9"/>
  </mergeCells>
  <phoneticPr fontId="7" type="noConversion"/>
  <conditionalFormatting sqref="P10:P172">
    <cfRule type="cellIs" dxfId="1" priority="1" operator="greaterThan">
      <formula>2500</formula>
    </cfRule>
  </conditionalFormatting>
  <conditionalFormatting sqref="Q10:Q172">
    <cfRule type="cellIs" dxfId="0" priority="2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n J i W B 0 Q T N K l A A A A 9 g A A A B I A H A B D b 2 5 m a W c v U G F j a 2 F n Z S 5 4 b W w g o h g A K K A U A A A A A A A A A A A A A A A A A A A A A A A A A A A A h Y + x D o I w G I R f h X S n L d U Y Q n 7 K Y N w k M S E x r k 2 p 0 A j F 0 G J 5 N w c f y V c Q o 6 i b 4 9 1 9 l 9 z d r z f I x r Y J L q q 3 u j M p i j B F g T K y K 7 W p U j S 4 Y x i j j M N O y J O o V D D B x i a j 1 S m q n T s n h H j v s V / g r q 8 I o z Q i h 3 x b y F q 1 I t T G O m G k Q p 9 W + b + F O O x f Y z j D E V v i F Y s x B T K b k G v z B d i 0 9 5 n + m L A e G j f 0 i i s b b g o g s w T y / s A f U E s D B B Q A A g A I A I 5 y Y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c m J Y K I p H u A 4 A A A A R A A A A E w A c A E Z v c m 1 1 b G F z L 1 N l Y 3 R p b 2 4 x L m 0 g o h g A K K A U A A A A A A A A A A A A A A A A A A A A A A A A A A A A K 0 5 N L s n M z 1 M I h t C G 1 g B Q S w E C L Q A U A A I A C A C O c m J Y H R B M 0 q U A A A D 2 A A A A E g A A A A A A A A A A A A A A A A A A A A A A Q 2 9 u Z m l n L 1 B h Y 2 t h Z 2 U u e G 1 s U E s B A i 0 A F A A C A A g A j n J i W A / K 6 a u k A A A A 6 Q A A A B M A A A A A A A A A A A A A A A A A 8 Q A A A F t D b 2 5 0 Z W 5 0 X 1 R 5 c G V z X S 5 4 b W x Q S w E C L Q A U A A I A C A C O c m J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l G C A 4 j 7 S k S U Y S J 5 8 M T x E w A A A A A C A A A A A A A D Z g A A w A A A A B A A A A C S f v 3 o q R M 7 S k O i F t U 5 c 8 d w A A A A A A S A A A C g A A A A E A A A A J v T j k D z l Y C G 3 4 l O P H C m 4 J x Q A A A A A k h C G k d k E O b L B m d 6 V I a Q 2 f x B U 9 8 L w b V o 2 L v 6 + B s p 3 T 7 i M l i 8 F 1 S j p X h g 9 n S b V R H A X T k j c c p 2 n j r U H n b K q 2 t x j 5 A 5 M Y m E + C F s T / y 6 r N M R 4 x A U A A A A K 0 O S k X x q x B H d 4 / P J G v + D q J P y H 8 I = < / D a t a M a s h u p > 
</file>

<file path=customXml/itemProps1.xml><?xml version="1.0" encoding="utf-8"?>
<ds:datastoreItem xmlns:ds="http://schemas.openxmlformats.org/officeDocument/2006/customXml" ds:itemID="{63A2D58B-E3FF-4987-98C5-E8BACBD6C0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MANEJO DE LA HOJA</vt:lpstr>
      <vt:lpstr>MANEJO DE LA HOJA CONTROL</vt:lpstr>
      <vt:lpstr>Comprobador de calendario</vt:lpstr>
      <vt:lpstr>Control de fugas</vt:lpstr>
      <vt:lpstr>Hoja3</vt:lpstr>
      <vt:lpstr>REFRIGERANTES</vt:lpstr>
      <vt:lpstr>'Comprobador de calendario'!Área_de_impresión</vt:lpstr>
      <vt:lpstr>'Control de fugas'!Área_de_impresión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Rial</dc:creator>
  <cp:lastModifiedBy>ADMINISTRACION EPYME .</cp:lastModifiedBy>
  <dcterms:created xsi:type="dcterms:W3CDTF">2015-06-05T18:19:34Z</dcterms:created>
  <dcterms:modified xsi:type="dcterms:W3CDTF">2024-03-14T11:23:37Z</dcterms:modified>
</cp:coreProperties>
</file>